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/>
  </bookViews>
  <sheets>
    <sheet name="PRESUPUESTO_VS_PRESUPUESTO" sheetId="2" r:id="rId1"/>
  </sheets>
  <definedNames>
    <definedName name="_xlnm.Print_Area" localSheetId="0">PRESUPUESTO_VS_PRESUPUESTO!$A$6:$M$135</definedName>
    <definedName name="Print_Area" localSheetId="0">PRESUPUESTO_VS_PRESUPUESTO!#REF!</definedName>
    <definedName name="Print_Titles" localSheetId="0">PRESUPUESTO_VS_PRESUPUESTO!$5:$8</definedName>
    <definedName name="_xlnm.Print_Titles" localSheetId="0">PRESUPUESTO_VS_PRESUPUESTO!$1:$5</definedName>
  </definedNames>
  <calcPr calcId="145621"/>
</workbook>
</file>

<file path=xl/calcChain.xml><?xml version="1.0" encoding="utf-8"?>
<calcChain xmlns="http://schemas.openxmlformats.org/spreadsheetml/2006/main">
  <c r="I10" i="2" l="1"/>
  <c r="E92" i="2"/>
  <c r="E70" i="2" s="1"/>
  <c r="J33" i="2"/>
  <c r="J35" i="2"/>
  <c r="F70" i="2"/>
  <c r="G70" i="2"/>
  <c r="E37" i="2"/>
  <c r="F37" i="2"/>
  <c r="G37" i="2"/>
  <c r="E8" i="2"/>
  <c r="F8" i="2"/>
  <c r="G8" i="2"/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L33" i="2" s="1"/>
  <c r="H34" i="2"/>
  <c r="H35" i="2"/>
  <c r="L35" i="2" s="1"/>
  <c r="F6" i="2"/>
  <c r="G6" i="2"/>
  <c r="D8" i="2" l="1"/>
  <c r="I131" i="2"/>
  <c r="I128" i="2"/>
  <c r="I126" i="2"/>
  <c r="I121" i="2"/>
  <c r="I102" i="2"/>
  <c r="I99" i="2"/>
  <c r="I97" i="2"/>
  <c r="I96" i="2"/>
  <c r="I95" i="2"/>
  <c r="I92" i="2"/>
  <c r="I87" i="2"/>
  <c r="I78" i="2"/>
  <c r="I77" i="2"/>
  <c r="I76" i="2"/>
  <c r="I61" i="2"/>
  <c r="I59" i="2"/>
  <c r="I57" i="2"/>
  <c r="I55" i="2"/>
  <c r="I54" i="2"/>
  <c r="I50" i="2"/>
  <c r="I43" i="2"/>
  <c r="I42" i="2"/>
  <c r="I40" i="2"/>
  <c r="I38" i="2"/>
  <c r="I19" i="2"/>
  <c r="I8" i="2" s="1"/>
  <c r="I13" i="2"/>
  <c r="I37" i="2" l="1"/>
  <c r="I70" i="2"/>
  <c r="K8" i="2"/>
  <c r="J134" i="2"/>
  <c r="J131" i="2"/>
  <c r="J128" i="2"/>
  <c r="J127" i="2"/>
  <c r="J126" i="2"/>
  <c r="J125" i="2"/>
  <c r="J124" i="2"/>
  <c r="J123" i="2"/>
  <c r="J122" i="2"/>
  <c r="J121" i="2"/>
  <c r="J120" i="2"/>
  <c r="J117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6" i="2"/>
  <c r="J85" i="2"/>
  <c r="J84" i="2"/>
  <c r="J83" i="2"/>
  <c r="J82" i="2"/>
  <c r="J81" i="2"/>
  <c r="J80" i="2"/>
  <c r="J79" i="2"/>
  <c r="J76" i="2"/>
  <c r="J75" i="2"/>
  <c r="J74" i="2"/>
  <c r="J68" i="2"/>
  <c r="J67" i="2"/>
  <c r="J66" i="2"/>
  <c r="J65" i="2"/>
  <c r="J64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4" i="2"/>
  <c r="J9" i="2"/>
  <c r="K134" i="2"/>
  <c r="K131" i="2"/>
  <c r="K128" i="2"/>
  <c r="K127" i="2"/>
  <c r="K125" i="2"/>
  <c r="K123" i="2"/>
  <c r="K122" i="2"/>
  <c r="K120" i="2"/>
  <c r="K117" i="2"/>
  <c r="K113" i="2"/>
  <c r="K112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6" i="2"/>
  <c r="K85" i="2"/>
  <c r="K84" i="2"/>
  <c r="K81" i="2"/>
  <c r="K80" i="2"/>
  <c r="K79" i="2"/>
  <c r="K76" i="2"/>
  <c r="K75" i="2"/>
  <c r="K74" i="2"/>
  <c r="K68" i="2"/>
  <c r="K67" i="2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8" i="2"/>
  <c r="K47" i="2"/>
  <c r="K46" i="2"/>
  <c r="K45" i="2"/>
  <c r="K44" i="2"/>
  <c r="K43" i="2"/>
  <c r="K42" i="2"/>
  <c r="K41" i="2"/>
  <c r="K40" i="2"/>
  <c r="K39" i="2"/>
  <c r="K34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D119" i="2"/>
  <c r="D130" i="2"/>
  <c r="D133" i="2"/>
  <c r="D116" i="2"/>
  <c r="H134" i="2"/>
  <c r="H133" i="2" s="1"/>
  <c r="H131" i="2"/>
  <c r="H130" i="2" s="1"/>
  <c r="H128" i="2"/>
  <c r="M128" i="2" s="1"/>
  <c r="H127" i="2"/>
  <c r="L127" i="2" s="1"/>
  <c r="H126" i="2"/>
  <c r="L126" i="2" s="1"/>
  <c r="H125" i="2"/>
  <c r="M125" i="2" s="1"/>
  <c r="H124" i="2"/>
  <c r="L124" i="2" s="1"/>
  <c r="H123" i="2"/>
  <c r="L123" i="2" s="1"/>
  <c r="H122" i="2"/>
  <c r="M122" i="2" s="1"/>
  <c r="H121" i="2"/>
  <c r="L121" i="2" s="1"/>
  <c r="H120" i="2"/>
  <c r="H117" i="2"/>
  <c r="H114" i="2"/>
  <c r="H113" i="2"/>
  <c r="M113" i="2" s="1"/>
  <c r="H112" i="2"/>
  <c r="L112" i="2" s="1"/>
  <c r="H111" i="2"/>
  <c r="L111" i="2" s="1"/>
  <c r="H110" i="2"/>
  <c r="H109" i="2"/>
  <c r="M109" i="2" s="1"/>
  <c r="H108" i="2"/>
  <c r="L108" i="2" s="1"/>
  <c r="H107" i="2"/>
  <c r="M107" i="2" s="1"/>
  <c r="H106" i="2"/>
  <c r="M106" i="2" s="1"/>
  <c r="H105" i="2"/>
  <c r="L105" i="2" s="1"/>
  <c r="H104" i="2"/>
  <c r="L104" i="2" s="1"/>
  <c r="H103" i="2"/>
  <c r="M103" i="2" s="1"/>
  <c r="H102" i="2"/>
  <c r="M102" i="2" s="1"/>
  <c r="H101" i="2"/>
  <c r="L101" i="2" s="1"/>
  <c r="H100" i="2"/>
  <c r="M100" i="2" s="1"/>
  <c r="H99" i="2"/>
  <c r="M99" i="2" s="1"/>
  <c r="H98" i="2"/>
  <c r="L98" i="2" s="1"/>
  <c r="H97" i="2"/>
  <c r="L97" i="2" s="1"/>
  <c r="H96" i="2"/>
  <c r="M96" i="2" s="1"/>
  <c r="H95" i="2"/>
  <c r="M95" i="2" s="1"/>
  <c r="H94" i="2"/>
  <c r="L94" i="2" s="1"/>
  <c r="H93" i="2"/>
  <c r="L93" i="2" s="1"/>
  <c r="H92" i="2"/>
  <c r="M92" i="2" s="1"/>
  <c r="H91" i="2"/>
  <c r="M91" i="2" s="1"/>
  <c r="H90" i="2"/>
  <c r="L90" i="2" s="1"/>
  <c r="H89" i="2"/>
  <c r="M89" i="2" s="1"/>
  <c r="H88" i="2"/>
  <c r="M88" i="2" s="1"/>
  <c r="D87" i="2"/>
  <c r="H87" i="2" s="1"/>
  <c r="L87" i="2" s="1"/>
  <c r="H86" i="2"/>
  <c r="L86" i="2" s="1"/>
  <c r="H85" i="2"/>
  <c r="M85" i="2" s="1"/>
  <c r="H84" i="2"/>
  <c r="M84" i="2" s="1"/>
  <c r="H83" i="2"/>
  <c r="L83" i="2" s="1"/>
  <c r="H82" i="2"/>
  <c r="L82" i="2" s="1"/>
  <c r="H81" i="2"/>
  <c r="M81" i="2" s="1"/>
  <c r="H80" i="2"/>
  <c r="M80" i="2" s="1"/>
  <c r="H79" i="2"/>
  <c r="L79" i="2" s="1"/>
  <c r="D78" i="2"/>
  <c r="H78" i="2" s="1"/>
  <c r="L78" i="2" s="1"/>
  <c r="D77" i="2"/>
  <c r="H77" i="2" s="1"/>
  <c r="M77" i="2" s="1"/>
  <c r="H76" i="2"/>
  <c r="M76" i="2" s="1"/>
  <c r="H75" i="2"/>
  <c r="L75" i="2" s="1"/>
  <c r="H74" i="2"/>
  <c r="M74" i="2" s="1"/>
  <c r="D73" i="2"/>
  <c r="H73" i="2" s="1"/>
  <c r="M73" i="2" s="1"/>
  <c r="D72" i="2"/>
  <c r="H72" i="2" s="1"/>
  <c r="L72" i="2" s="1"/>
  <c r="D71" i="2"/>
  <c r="H71" i="2" s="1"/>
  <c r="H68" i="2"/>
  <c r="M68" i="2" s="1"/>
  <c r="H67" i="2"/>
  <c r="L67" i="2" s="1"/>
  <c r="H66" i="2"/>
  <c r="L66" i="2" s="1"/>
  <c r="H65" i="2"/>
  <c r="M65" i="2" s="1"/>
  <c r="H64" i="2"/>
  <c r="M64" i="2" s="1"/>
  <c r="H63" i="2"/>
  <c r="L63" i="2" s="1"/>
  <c r="H62" i="2"/>
  <c r="L62" i="2" s="1"/>
  <c r="H61" i="2"/>
  <c r="M61" i="2" s="1"/>
  <c r="H60" i="2"/>
  <c r="L60" i="2" s="1"/>
  <c r="H59" i="2"/>
  <c r="L59" i="2" s="1"/>
  <c r="H58" i="2"/>
  <c r="M58" i="2" s="1"/>
  <c r="D57" i="2"/>
  <c r="H57" i="2" s="1"/>
  <c r="M57" i="2" s="1"/>
  <c r="H56" i="2"/>
  <c r="L56" i="2" s="1"/>
  <c r="H55" i="2"/>
  <c r="L55" i="2" s="1"/>
  <c r="H54" i="2"/>
  <c r="M54" i="2" s="1"/>
  <c r="H53" i="2"/>
  <c r="M53" i="2" s="1"/>
  <c r="H52" i="2"/>
  <c r="L52" i="2" s="1"/>
  <c r="H51" i="2"/>
  <c r="L51" i="2" s="1"/>
  <c r="H50" i="2"/>
  <c r="M50" i="2" s="1"/>
  <c r="H49" i="2"/>
  <c r="L49" i="2" s="1"/>
  <c r="H48" i="2"/>
  <c r="M48" i="2" s="1"/>
  <c r="H47" i="2"/>
  <c r="L47" i="2" s="1"/>
  <c r="H46" i="2"/>
  <c r="L46" i="2" s="1"/>
  <c r="H45" i="2"/>
  <c r="M45" i="2" s="1"/>
  <c r="H44" i="2"/>
  <c r="M44" i="2" s="1"/>
  <c r="H43" i="2"/>
  <c r="L43" i="2" s="1"/>
  <c r="H42" i="2"/>
  <c r="L42" i="2" s="1"/>
  <c r="H41" i="2"/>
  <c r="M41" i="2" s="1"/>
  <c r="H40" i="2"/>
  <c r="M40" i="2" s="1"/>
  <c r="H39" i="2"/>
  <c r="L39" i="2" s="1"/>
  <c r="D38" i="2"/>
  <c r="H38" i="2" s="1"/>
  <c r="M34" i="2"/>
  <c r="L32" i="2"/>
  <c r="M31" i="2"/>
  <c r="L30" i="2"/>
  <c r="M29" i="2"/>
  <c r="M28" i="2"/>
  <c r="L27" i="2"/>
  <c r="L26" i="2"/>
  <c r="M25" i="2"/>
  <c r="M24" i="2"/>
  <c r="L23" i="2"/>
  <c r="M22" i="2"/>
  <c r="L21" i="2"/>
  <c r="L20" i="2"/>
  <c r="M19" i="2"/>
  <c r="M18" i="2"/>
  <c r="M17" i="2"/>
  <c r="L16" i="2"/>
  <c r="M15" i="2"/>
  <c r="M14" i="2"/>
  <c r="L13" i="2"/>
  <c r="L12" i="2"/>
  <c r="M11" i="2"/>
  <c r="M10" i="2"/>
  <c r="H9" i="2"/>
  <c r="H8" i="2" s="1"/>
  <c r="K9" i="2"/>
  <c r="L71" i="2" l="1"/>
  <c r="H70" i="2"/>
  <c r="M70" i="2" s="1"/>
  <c r="L38" i="2"/>
  <c r="H37" i="2"/>
  <c r="M37" i="2" s="1"/>
  <c r="J8" i="2"/>
  <c r="H116" i="2"/>
  <c r="L116" i="2" s="1"/>
  <c r="M9" i="2"/>
  <c r="M8" i="2"/>
  <c r="H119" i="2"/>
  <c r="M119" i="2" s="1"/>
  <c r="K77" i="2"/>
  <c r="M23" i="2"/>
  <c r="M38" i="2"/>
  <c r="M42" i="2"/>
  <c r="M46" i="2"/>
  <c r="M51" i="2"/>
  <c r="M55" i="2"/>
  <c r="M59" i="2"/>
  <c r="M62" i="2"/>
  <c r="M66" i="2"/>
  <c r="M71" i="2"/>
  <c r="M78" i="2"/>
  <c r="M86" i="2"/>
  <c r="M93" i="2"/>
  <c r="M97" i="2"/>
  <c r="M101" i="2"/>
  <c r="M104" i="2"/>
  <c r="M117" i="2"/>
  <c r="M121" i="2"/>
  <c r="M123" i="2"/>
  <c r="M134" i="2"/>
  <c r="J77" i="2"/>
  <c r="L10" i="2"/>
  <c r="L17" i="2"/>
  <c r="L34" i="2"/>
  <c r="L40" i="2"/>
  <c r="L44" i="2"/>
  <c r="L48" i="2"/>
  <c r="L53" i="2"/>
  <c r="L57" i="2"/>
  <c r="L64" i="2"/>
  <c r="L68" i="2"/>
  <c r="L73" i="2"/>
  <c r="L76" i="2"/>
  <c r="L80" i="2"/>
  <c r="L84" i="2"/>
  <c r="L88" i="2"/>
  <c r="L91" i="2"/>
  <c r="L95" i="2"/>
  <c r="L99" i="2"/>
  <c r="L102" i="2"/>
  <c r="L106" i="2"/>
  <c r="L109" i="2"/>
  <c r="L114" i="2"/>
  <c r="L125" i="2"/>
  <c r="L128" i="2"/>
  <c r="L131" i="2"/>
  <c r="K38" i="2"/>
  <c r="K71" i="2"/>
  <c r="K78" i="2"/>
  <c r="M16" i="2"/>
  <c r="M39" i="2"/>
  <c r="M43" i="2"/>
  <c r="M47" i="2"/>
  <c r="M52" i="2"/>
  <c r="M56" i="2"/>
  <c r="M60" i="2"/>
  <c r="M63" i="2"/>
  <c r="M67" i="2"/>
  <c r="M72" i="2"/>
  <c r="M75" i="2"/>
  <c r="M79" i="2"/>
  <c r="M87" i="2"/>
  <c r="M90" i="2"/>
  <c r="M94" i="2"/>
  <c r="M98" i="2"/>
  <c r="M105" i="2"/>
  <c r="M108" i="2"/>
  <c r="M112" i="2"/>
  <c r="M124" i="2"/>
  <c r="M127" i="2"/>
  <c r="J38" i="2"/>
  <c r="J71" i="2"/>
  <c r="J78" i="2"/>
  <c r="L11" i="2"/>
  <c r="L41" i="2"/>
  <c r="L45" i="2"/>
  <c r="L50" i="2"/>
  <c r="L54" i="2"/>
  <c r="L58" i="2"/>
  <c r="L61" i="2"/>
  <c r="L65" i="2"/>
  <c r="L74" i="2"/>
  <c r="L77" i="2"/>
  <c r="L81" i="2"/>
  <c r="L85" i="2"/>
  <c r="L89" i="2"/>
  <c r="L92" i="2"/>
  <c r="L96" i="2"/>
  <c r="L100" i="2"/>
  <c r="L103" i="2"/>
  <c r="L107" i="2"/>
  <c r="L110" i="2"/>
  <c r="L113" i="2"/>
  <c r="L120" i="2"/>
  <c r="L122" i="2"/>
  <c r="K72" i="2"/>
  <c r="K87" i="2"/>
  <c r="M131" i="2"/>
  <c r="L9" i="2"/>
  <c r="J72" i="2"/>
  <c r="J87" i="2"/>
  <c r="L117" i="2"/>
  <c r="L134" i="2"/>
  <c r="K57" i="2"/>
  <c r="K73" i="2"/>
  <c r="M120" i="2"/>
  <c r="J57" i="2"/>
  <c r="J73" i="2"/>
  <c r="M12" i="2"/>
  <c r="M20" i="2"/>
  <c r="M26" i="2"/>
  <c r="M30" i="2"/>
  <c r="M32" i="2"/>
  <c r="L14" i="2"/>
  <c r="L18" i="2"/>
  <c r="L24" i="2"/>
  <c r="L28" i="2"/>
  <c r="M13" i="2"/>
  <c r="M21" i="2"/>
  <c r="M27" i="2"/>
  <c r="L15" i="2"/>
  <c r="L19" i="2"/>
  <c r="L22" i="2"/>
  <c r="L25" i="2"/>
  <c r="L29" i="2"/>
  <c r="L31" i="2"/>
  <c r="L130" i="2"/>
  <c r="M133" i="2"/>
  <c r="J133" i="2"/>
  <c r="M130" i="2"/>
  <c r="L133" i="2"/>
  <c r="K133" i="2"/>
  <c r="J116" i="2"/>
  <c r="J119" i="2"/>
  <c r="J130" i="2"/>
  <c r="I6" i="2"/>
  <c r="K116" i="2"/>
  <c r="K119" i="2"/>
  <c r="K130" i="2"/>
  <c r="D70" i="2"/>
  <c r="D37" i="2"/>
  <c r="E6" i="2"/>
  <c r="J70" i="2" l="1"/>
  <c r="M116" i="2"/>
  <c r="L119" i="2"/>
  <c r="J37" i="2"/>
  <c r="L8" i="2"/>
  <c r="K37" i="2"/>
  <c r="K70" i="2"/>
  <c r="L70" i="2"/>
  <c r="L37" i="2"/>
  <c r="J6" i="2" l="1"/>
  <c r="L6" i="2"/>
  <c r="H6" i="2"/>
  <c r="M6" i="2" s="1"/>
  <c r="D6" i="2"/>
  <c r="K6" i="2" s="1"/>
</calcChain>
</file>

<file path=xl/sharedStrings.xml><?xml version="1.0" encoding="utf-8"?>
<sst xmlns="http://schemas.openxmlformats.org/spreadsheetml/2006/main" count="142" uniqueCount="140">
  <si>
    <t>CAPITULO</t>
  </si>
  <si>
    <t>Descripción</t>
  </si>
  <si>
    <t>TOTALES</t>
  </si>
  <si>
    <t>SERVICIOS PERSONALES</t>
  </si>
  <si>
    <t>Dietas y Retribuciones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</si>
  <si>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</si>
  <si>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</si>
  <si>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</si>
  <si>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</si>
  <si>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</si>
  <si>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Gratificación de fin de año</t>
  </si>
  <si>
    <t>Tiempo extraordinario</t>
  </si>
  <si>
    <t>Compensaciones</t>
  </si>
  <si>
    <t>Aportaciones patronales de servicio médico</t>
  </si>
  <si>
    <t>Aportaciones patronales de fondo de pensiones</t>
  </si>
  <si>
    <t>Seguro de vida</t>
  </si>
  <si>
    <t>Seguro de vida Magistrados, Jueces y Consejeros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</si>
  <si>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</si>
  <si>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</si>
  <si>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</si>
  <si>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</si>
  <si>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</si>
  <si>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</si>
  <si>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</si>
  <si>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</si>
  <si>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</si>
  <si>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Gastos médicos menores Magistrados, Jueces y Consejeros</t>
  </si>
  <si>
    <t>Servicios Médicos</t>
  </si>
  <si>
    <t>Estímulo por productividad</t>
  </si>
  <si>
    <t>MATERIALES Y SUMINISTROS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</si>
  <si>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</si>
  <si>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</si>
  <si>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</si>
  <si>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</si>
  <si>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</si>
  <si>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</si>
  <si>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Material para credencialización</t>
  </si>
  <si>
    <t>Alimentación de personal</t>
  </si>
  <si>
    <t>Agua y hielo para consumo humano</t>
  </si>
  <si>
    <t>Artículos de cafetería</t>
  </si>
  <si>
    <t>Utensilios para el servicio de alimentación</t>
  </si>
  <si>
    <t>Cal, yeso y productos de yeso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</si>
  <si>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</si>
  <si>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</si>
  <si>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</si>
  <si>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</si>
  <si>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</si>
  <si>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</si>
  <si>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Materiales, accesorios y suministros de laboratorio</t>
  </si>
  <si>
    <t>Combustibles</t>
  </si>
  <si>
    <t>Lubricantes y aditivos</t>
  </si>
  <si>
    <t>Vestuario y uniformes</t>
  </si>
  <si>
    <t>Vestuario, uniformes exclusivos del SEMEFO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</si>
  <si>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</si>
  <si>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</si>
  <si>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</si>
  <si>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</si>
  <si>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</si>
  <si>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</si>
  <si>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</si>
  <si>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</si>
  <si>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</si>
  <si>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 de energía eléctrica</t>
  </si>
  <si>
    <t>Servicio de agua potable</t>
  </si>
  <si>
    <t>Servicio telefónico tradicional</t>
  </si>
  <si>
    <t>Servicios de telefonía celular</t>
  </si>
  <si>
    <t>Servicio de acceso a Internet, redes y procesamiento de información</t>
  </si>
  <si>
    <t>Servicio postal, telégrafo y mensajería</t>
  </si>
  <si>
    <t>Arrendamiento de edificios y locales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</si>
  <si>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</si>
  <si>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</si>
  <si>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</si>
  <si>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 y asesorías en materia jurídica, económica y contable</t>
  </si>
  <si>
    <t>Servicios y asesorías en materia de ingeniería, arquitectura y diseño</t>
  </si>
  <si>
    <t>Servicios de capacitación</t>
  </si>
  <si>
    <t>Servicio de apoyo administrativo y fotocopiado</t>
  </si>
  <si>
    <t>Servicios de impresión</t>
  </si>
  <si>
    <t>Otros servicios de apoyo administrativo</t>
  </si>
  <si>
    <t>Servicio de vigilancia y monitoreo</t>
  </si>
  <si>
    <t>Intereses, comisiones y servicios bancarios</t>
  </si>
  <si>
    <t>Avalúos no relacionados con la ejecución de obras</t>
  </si>
  <si>
    <t>Seguros de responsabilidad patrimonial y fianzas</t>
  </si>
  <si>
    <t>Seguros de bienes patrimoniales</t>
  </si>
  <si>
    <t>Conservación y mantenimiento menor de edificios y locales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</si>
  <si>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</si>
  <si>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</si>
  <si>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</si>
  <si>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</si>
  <si>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</si>
  <si>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</si>
  <si>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</si>
  <si>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</si>
  <si>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</t>
  </si>
  <si>
    <t>Servicios de recolección y manejo de desechos</t>
  </si>
  <si>
    <t>Servicios de jardinería</t>
  </si>
  <si>
    <t>Servicios de fumigación</t>
  </si>
  <si>
    <t>Servicios de difusión institucional</t>
  </si>
  <si>
    <t>Pasajes aéreos</t>
  </si>
  <si>
    <t>Pasajes terrestres</t>
  </si>
  <si>
    <t>Viáticos en el país</t>
  </si>
  <si>
    <t>Hospedaje en el país</t>
  </si>
  <si>
    <t>Viáticos en el extranjero</t>
  </si>
  <si>
    <t>Hospedaje en el extranjero</t>
  </si>
  <si>
    <t>Peajes</t>
  </si>
  <si>
    <t>Reuniones de trabajo</t>
  </si>
  <si>
    <t>Otros gastos por responsabilidades</t>
  </si>
  <si>
    <t>TRANSFERENCIAS, ASIGNACIONES, SUBSIDIOS Y OTRAS AYUDAS</t>
  </si>
  <si>
    <t>Cuotas a Organismos Nacionales</t>
  </si>
  <si>
    <t>BIENES MUEBLES, INMUEBLES E INTANGIBLES</t>
  </si>
  <si>
    <t>Muebles de oficina y estantería</t>
  </si>
  <si>
    <t>Equipo de computo y de tecnología de la información</t>
  </si>
  <si>
    <t>Otros mobiliarios y equipos de administración</t>
  </si>
  <si>
    <t>Equipos y aparatos audiovisuales</t>
  </si>
  <si>
    <t>Cámaras fotográficas y de video</t>
  </si>
  <si>
    <t>Equipo médico y de laboratorio</t>
  </si>
  <si>
    <t>Vehículos y equipo terrestre</t>
  </si>
  <si>
    <t>Maquinaria y equipo de aire acondicionado</t>
  </si>
  <si>
    <t>Equipo de comunicación y telecomunicación</t>
  </si>
  <si>
    <t>INVERSION PÚBLICA</t>
  </si>
  <si>
    <t>Acabados y otros trabajos especializados en bienes propios</t>
  </si>
  <si>
    <t>INVERSIONES FINANCIERAS Y OTRAS PROVISIONES</t>
  </si>
  <si>
    <t>Inversiones en Fideicomisos del Poder judicial</t>
  </si>
  <si>
    <t>PARTIDA ESPECIFICA</t>
  </si>
  <si>
    <t>COMPARATIVOS</t>
  </si>
  <si>
    <t>AMPLIACIONES</t>
  </si>
  <si>
    <t>TRANSFERENCIAS</t>
  </si>
  <si>
    <t>MODIFICADO</t>
  </si>
  <si>
    <t>Número</t>
  </si>
  <si>
    <t>Reducción</t>
  </si>
  <si>
    <t>Ampliación</t>
  </si>
  <si>
    <t>Cantidad</t>
  </si>
  <si>
    <t>%</t>
  </si>
  <si>
    <t>PRESUPUESTO INICIAL 2019</t>
  </si>
  <si>
    <t>PRESUPUESTO AUTORIZADO EJERCICIO 2019</t>
  </si>
  <si>
    <t>PROYECTO PRESUPUESTAL 2020</t>
  </si>
  <si>
    <t>Proyecto 2020 Vs Presupuesto Inicial 2019</t>
  </si>
  <si>
    <t>Proyecto de Presupuesto 2020 Vs Presupuesto Modificado Autorizado 2019</t>
  </si>
  <si>
    <t>Reserva para incremento en percepciones</t>
  </si>
  <si>
    <t>CUADRO COMPARATIVO: PROYECTO DE PRESUPUESTO 2020 Vs. PRESUPUESTO INICIAL AUTORIZADO Y PRESUPUESTO AUTORIZADO MODIFICADO 2019</t>
  </si>
  <si>
    <t>Ipacto nomina elecronica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</si>
</sst>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  <numFmt numFmtId="165" formatCode="#,##0.00_ ;[Red]\-#,##0.00\ "/>
    <numFmt numFmtId="166" formatCode="General_)"/>
    <numFmt numFmtId="167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6" fontId="3" fillId="0" borderId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>
      <alignment vertical="top"/>
    </xf>
    <xf numFmtId="0" fontId="1" fillId="0" borderId="0"/>
  </cellStyleXfs>
  <cellXfs count="74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0" fillId="0" borderId="2" xfId="0" applyFont="1" applyFill="1" applyBorder="1" applyAlignment="1">
      <alignment horizontal="center"/>
    </xf>
    <xf numFmtId="164" fontId="0" fillId="0" borderId="6" xfId="0" applyNumberFormat="1" applyFont="1" applyBorder="1" applyAlignment="1" applyProtection="1">
      <alignment horizontal="right" vertical="top"/>
      <protection locked="0"/>
    </xf>
    <xf numFmtId="164" fontId="0" fillId="0" borderId="1" xfId="0" applyNumberFormat="1" applyFont="1" applyBorder="1" applyAlignment="1" applyProtection="1">
      <alignment horizontal="right" vertical="top"/>
      <protection locked="0"/>
    </xf>
    <xf numFmtId="164" fontId="0" fillId="0" borderId="4" xfId="0" applyNumberFormat="1" applyFont="1" applyBorder="1" applyAlignment="1" applyProtection="1">
      <alignment horizontal="right" vertical="top"/>
      <protection locked="0"/>
    </xf>
    <xf numFmtId="164" fontId="0" fillId="0" borderId="3" xfId="0" applyNumberFormat="1" applyFont="1" applyBorder="1" applyAlignment="1" applyProtection="1">
      <alignment horizontal="right" vertical="top"/>
      <protection locked="0"/>
    </xf>
    <xf numFmtId="0" fontId="0" fillId="0" borderId="7" xfId="0" applyFont="1" applyFill="1" applyBorder="1" applyAlignment="1">
      <alignment horizontal="center"/>
    </xf>
    <xf numFmtId="164" fontId="0" fillId="0" borderId="8" xfId="0" applyNumberFormat="1" applyFont="1" applyBorder="1" applyAlignment="1" applyProtection="1">
      <alignment horizontal="right" vertical="top"/>
      <protection locked="0"/>
    </xf>
    <xf numFmtId="0" fontId="0" fillId="0" borderId="9" xfId="0" applyFont="1" applyFill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 horizontal="left" vertical="top"/>
    </xf>
    <xf numFmtId="0" fontId="6" fillId="0" borderId="22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65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/>
    </xf>
    <xf numFmtId="164" fontId="0" fillId="0" borderId="23" xfId="0" applyNumberFormat="1" applyFont="1" applyBorder="1" applyAlignment="1" applyProtection="1">
      <alignment horizontal="center" vertical="top"/>
      <protection locked="0"/>
    </xf>
    <xf numFmtId="164" fontId="0" fillId="0" borderId="23" xfId="0" applyNumberFormat="1" applyFont="1" applyBorder="1" applyAlignment="1" applyProtection="1">
      <alignment horizontal="left" vertical="top"/>
      <protection locked="0"/>
    </xf>
    <xf numFmtId="165" fontId="8" fillId="0" borderId="14" xfId="0" applyNumberFormat="1" applyFont="1" applyFill="1" applyBorder="1" applyAlignment="1" applyProtection="1">
      <alignment horizontal="left" vertical="top"/>
      <protection locked="0"/>
    </xf>
    <xf numFmtId="40" fontId="2" fillId="2" borderId="5" xfId="0" applyNumberFormat="1" applyFont="1" applyFill="1" applyBorder="1" applyAlignment="1" applyProtection="1">
      <alignment vertical="top"/>
    </xf>
    <xf numFmtId="40" fontId="0" fillId="0" borderId="5" xfId="0" applyNumberFormat="1" applyFont="1" applyFill="1" applyBorder="1" applyAlignment="1" applyProtection="1">
      <alignment vertical="top"/>
      <protection locked="0"/>
    </xf>
    <xf numFmtId="40" fontId="2" fillId="0" borderId="5" xfId="0" applyNumberFormat="1" applyFont="1" applyFill="1" applyBorder="1" applyAlignment="1" applyProtection="1">
      <alignment vertical="top"/>
    </xf>
    <xf numFmtId="40" fontId="0" fillId="0" borderId="5" xfId="0" applyNumberFormat="1" applyFont="1" applyFill="1" applyBorder="1" applyAlignment="1" applyProtection="1">
      <alignment vertical="top"/>
    </xf>
    <xf numFmtId="40" fontId="0" fillId="0" borderId="24" xfId="0" applyNumberFormat="1" applyFont="1" applyFill="1" applyBorder="1" applyAlignment="1" applyProtection="1">
      <alignment vertical="top"/>
    </xf>
    <xf numFmtId="40" fontId="0" fillId="0" borderId="25" xfId="0" applyNumberFormat="1" applyFont="1" applyBorder="1" applyAlignment="1" applyProtection="1">
      <alignment vertical="top"/>
    </xf>
    <xf numFmtId="0" fontId="2" fillId="2" borderId="26" xfId="0" applyFont="1" applyFill="1" applyBorder="1" applyAlignment="1">
      <alignment vertical="top"/>
    </xf>
    <xf numFmtId="164" fontId="0" fillId="0" borderId="27" xfId="0" applyNumberFormat="1" applyFont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>
      <alignment vertical="top"/>
    </xf>
    <xf numFmtId="164" fontId="0" fillId="0" borderId="28" xfId="0" applyNumberFormat="1" applyFont="1" applyBorder="1" applyAlignment="1" applyProtection="1">
      <alignment horizontal="left" vertical="top" wrapText="1"/>
      <protection locked="0"/>
    </xf>
    <xf numFmtId="164" fontId="0" fillId="0" borderId="26" xfId="0" applyNumberFormat="1" applyFont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>
      <alignment horizontal="left" vertical="top" wrapText="1"/>
    </xf>
    <xf numFmtId="164" fontId="0" fillId="0" borderId="29" xfId="0" applyNumberFormat="1" applyFont="1" applyBorder="1" applyAlignment="1" applyProtection="1">
      <alignment horizontal="left" vertical="top" wrapText="1"/>
      <protection locked="0"/>
    </xf>
    <xf numFmtId="164" fontId="0" fillId="0" borderId="30" xfId="0" applyNumberFormat="1" applyFont="1" applyBorder="1" applyAlignment="1" applyProtection="1">
      <alignment horizontal="left" vertical="top"/>
      <protection locked="0"/>
    </xf>
    <xf numFmtId="40" fontId="2" fillId="2" borderId="26" xfId="0" applyNumberFormat="1" applyFont="1" applyFill="1" applyBorder="1" applyAlignment="1" applyProtection="1">
      <alignment vertical="top"/>
    </xf>
    <xf numFmtId="40" fontId="0" fillId="0" borderId="26" xfId="0" applyNumberFormat="1" applyFont="1" applyFill="1" applyBorder="1" applyAlignment="1" applyProtection="1">
      <alignment vertical="top"/>
      <protection locked="0"/>
    </xf>
    <xf numFmtId="40" fontId="2" fillId="0" borderId="26" xfId="0" applyNumberFormat="1" applyFont="1" applyFill="1" applyBorder="1" applyAlignment="1" applyProtection="1">
      <alignment vertical="top"/>
    </xf>
    <xf numFmtId="40" fontId="0" fillId="0" borderId="26" xfId="0" applyNumberFormat="1" applyFont="1" applyFill="1" applyBorder="1" applyAlignment="1" applyProtection="1">
      <alignment vertical="top"/>
    </xf>
    <xf numFmtId="40" fontId="0" fillId="0" borderId="31" xfId="0" applyNumberFormat="1" applyFont="1" applyFill="1" applyBorder="1" applyAlignment="1" applyProtection="1">
      <alignment vertical="top"/>
    </xf>
    <xf numFmtId="40" fontId="0" fillId="0" borderId="32" xfId="0" applyNumberFormat="1" applyFont="1" applyBorder="1" applyAlignment="1" applyProtection="1">
      <alignment vertical="top"/>
    </xf>
    <xf numFmtId="165" fontId="8" fillId="0" borderId="33" xfId="0" applyNumberFormat="1" applyFont="1" applyFill="1" applyBorder="1" applyAlignment="1" applyProtection="1">
      <alignment horizontal="left" vertical="top"/>
      <protection locked="0"/>
    </xf>
    <xf numFmtId="40" fontId="2" fillId="2" borderId="34" xfId="0" applyNumberFormat="1" applyFont="1" applyFill="1" applyBorder="1" applyAlignment="1" applyProtection="1">
      <alignment vertical="top"/>
    </xf>
    <xf numFmtId="40" fontId="0" fillId="0" borderId="34" xfId="0" applyNumberFormat="1" applyFont="1" applyFill="1" applyBorder="1" applyAlignment="1" applyProtection="1">
      <alignment vertical="top"/>
      <protection locked="0"/>
    </xf>
    <xf numFmtId="40" fontId="2" fillId="0" borderId="34" xfId="0" applyNumberFormat="1" applyFont="1" applyFill="1" applyBorder="1" applyAlignment="1" applyProtection="1">
      <alignment vertical="top"/>
    </xf>
    <xf numFmtId="40" fontId="0" fillId="0" borderId="34" xfId="0" applyNumberFormat="1" applyFont="1" applyFill="1" applyBorder="1" applyAlignment="1" applyProtection="1">
      <alignment vertical="top"/>
    </xf>
    <xf numFmtId="40" fontId="0" fillId="0" borderId="35" xfId="0" applyNumberFormat="1" applyFont="1" applyFill="1" applyBorder="1" applyAlignment="1" applyProtection="1">
      <alignment vertical="top"/>
    </xf>
    <xf numFmtId="40" fontId="0" fillId="0" borderId="36" xfId="0" applyNumberFormat="1" applyFont="1" applyBorder="1" applyAlignment="1" applyProtection="1">
      <alignment vertical="top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45"/>
    </xf>
    <xf numFmtId="0" fontId="6" fillId="0" borderId="18" xfId="0" applyFont="1" applyFill="1" applyBorder="1" applyAlignment="1">
      <alignment horizontal="center" vertical="center" textRotation="45"/>
    </xf>
    <xf numFmtId="0" fontId="6" fillId="0" borderId="21" xfId="0" applyFont="1" applyFill="1" applyBorder="1" applyAlignment="1">
      <alignment horizontal="center" vertical="center" textRotation="45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5" fontId="7" fillId="3" borderId="15" xfId="0" applyNumberFormat="1" applyFont="1" applyFill="1" applyBorder="1" applyAlignment="1">
      <alignment horizontal="center" vertical="center"/>
    </xf>
    <xf numFmtId="165" fontId="7" fillId="3" borderId="16" xfId="0" applyNumberFormat="1" applyFont="1" applyFill="1" applyBorder="1" applyAlignment="1">
      <alignment horizontal="center" vertical="center"/>
    </xf>
    <xf numFmtId="165" fontId="7" fillId="4" borderId="12" xfId="0" applyNumberFormat="1" applyFont="1" applyFill="1" applyBorder="1" applyAlignment="1">
      <alignment horizontal="center" vertical="center" wrapText="1"/>
    </xf>
    <xf numFmtId="165" fontId="7" fillId="4" borderId="18" xfId="0" applyNumberFormat="1" applyFont="1" applyFill="1" applyBorder="1" applyAlignment="1">
      <alignment horizontal="center" vertical="center" wrapText="1"/>
    </xf>
    <xf numFmtId="165" fontId="7" fillId="4" borderId="21" xfId="0" applyNumberFormat="1" applyFont="1" applyFill="1" applyBorder="1" applyAlignment="1">
      <alignment horizontal="center" vertical="center" wrapText="1"/>
    </xf>
    <xf numFmtId="165" fontId="7" fillId="3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M135"/>
  <sheetViews>
    <sheetView tabSelected="1" zoomScaleNormal="100" workbookViewId="0">
      <pane xSplit="3" ySplit="8" topLeftCell="E16" activePane="bottomRight" state="frozen"/>
      <selection activeCell="E9" sqref="E9"/>
      <selection pane="topRight" activeCell="E9" sqref="E9"/>
      <selection pane="bottomLeft" activeCell="E9" sqref="E9"/>
      <selection pane="bottomRight" activeCell="I35" sqref="I35"/>
    </sheetView>
  </sheetViews>
  <sheetFormatPr baseColWidth="10" defaultRowHeight="15" x14ac:dyDescent="0.25"/>
  <cols>
    <col min="1" max="1" width="7.7109375" style="1" customWidth="1"/>
    <col min="2" max="2" width="8" style="1" customWidth="1"/>
    <col min="3" max="3" width="37.85546875" style="16" customWidth="1"/>
    <col min="4" max="4" width="15.28515625" style="1" bestFit="1" customWidth="1"/>
    <col min="5" max="5" width="12.7109375" style="1" bestFit="1" customWidth="1"/>
    <col min="6" max="6" width="13.42578125" style="1" bestFit="1" customWidth="1"/>
    <col min="7" max="7" width="12.7109375" style="1" bestFit="1" customWidth="1"/>
    <col min="8" max="8" width="15.28515625" style="1" bestFit="1" customWidth="1"/>
    <col min="9" max="9" width="16.7109375" style="1" customWidth="1"/>
    <col min="10" max="10" width="13.7109375" style="1" customWidth="1"/>
    <col min="11" max="11" width="9.140625" style="1" customWidth="1"/>
    <col min="12" max="12" width="14.28515625" style="1" customWidth="1"/>
    <col min="13" max="13" width="9.140625" style="1" customWidth="1"/>
    <col min="14" max="16384" width="11.42578125" style="1"/>
  </cols>
  <sheetData>
    <row r="1" spans="1:13" ht="15.75" thickBot="1" x14ac:dyDescent="0.3">
      <c r="A1" s="54" t="s">
        <v>138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 customHeight="1" thickBot="1" x14ac:dyDescent="0.3">
      <c r="A2" s="55" t="s">
        <v>0</v>
      </c>
      <c r="B2" s="58" t="s">
        <v>122</v>
      </c>
      <c r="C2" s="59"/>
      <c r="D2" s="62" t="s">
        <v>133</v>
      </c>
      <c r="E2" s="63"/>
      <c r="F2" s="63"/>
      <c r="G2" s="63"/>
      <c r="H2" s="63"/>
      <c r="I2" s="64" t="s">
        <v>134</v>
      </c>
      <c r="J2" s="62" t="s">
        <v>123</v>
      </c>
      <c r="K2" s="63"/>
      <c r="L2" s="63"/>
      <c r="M2" s="67"/>
    </row>
    <row r="3" spans="1:13" ht="52.5" customHeight="1" thickBot="1" x14ac:dyDescent="0.3">
      <c r="A3" s="56"/>
      <c r="B3" s="60"/>
      <c r="C3" s="61"/>
      <c r="D3" s="68" t="s">
        <v>132</v>
      </c>
      <c r="E3" s="68" t="s">
        <v>124</v>
      </c>
      <c r="F3" s="70" t="s">
        <v>125</v>
      </c>
      <c r="G3" s="71"/>
      <c r="H3" s="72" t="s">
        <v>126</v>
      </c>
      <c r="I3" s="65"/>
      <c r="J3" s="52" t="s">
        <v>135</v>
      </c>
      <c r="K3" s="53"/>
      <c r="L3" s="52" t="s">
        <v>136</v>
      </c>
      <c r="M3" s="53"/>
    </row>
    <row r="4" spans="1:13" ht="15.75" thickBot="1" x14ac:dyDescent="0.3">
      <c r="A4" s="57"/>
      <c r="B4" s="17" t="s">
        <v>127</v>
      </c>
      <c r="C4" s="17" t="s">
        <v>1</v>
      </c>
      <c r="D4" s="69"/>
      <c r="E4" s="69"/>
      <c r="F4" s="18" t="s">
        <v>128</v>
      </c>
      <c r="G4" s="19" t="s">
        <v>129</v>
      </c>
      <c r="H4" s="73"/>
      <c r="I4" s="66"/>
      <c r="J4" s="20" t="s">
        <v>130</v>
      </c>
      <c r="K4" s="20" t="s">
        <v>131</v>
      </c>
      <c r="L4" s="20" t="s">
        <v>130</v>
      </c>
      <c r="M4" s="20" t="s">
        <v>131</v>
      </c>
    </row>
    <row r="5" spans="1:13" s="2" customFormat="1" x14ac:dyDescent="0.25">
      <c r="A5" s="21"/>
      <c r="B5" s="22"/>
      <c r="C5" s="23"/>
      <c r="D5" s="24"/>
      <c r="E5" s="24"/>
      <c r="F5" s="45"/>
      <c r="G5" s="24"/>
      <c r="H5" s="24"/>
      <c r="I5" s="24"/>
      <c r="J5" s="24"/>
      <c r="K5" s="24"/>
      <c r="L5" s="24"/>
      <c r="M5" s="24"/>
    </row>
    <row r="6" spans="1:13" s="2" customFormat="1" x14ac:dyDescent="0.25">
      <c r="A6" s="3" t="s">
        <v>2</v>
      </c>
      <c r="B6" s="4"/>
      <c r="C6" s="31"/>
      <c r="D6" s="39">
        <f t="shared" ref="D6:J6" si="0">SUM(D8,D37,D70,D116,D119,D130,D133)</f>
        <v>999999999.99499989</v>
      </c>
      <c r="E6" s="39">
        <f t="shared" si="0"/>
        <v>39504001.990000002</v>
      </c>
      <c r="F6" s="25">
        <f t="shared" si="0"/>
        <v>-6651821.1799999997</v>
      </c>
      <c r="G6" s="46">
        <f t="shared" si="0"/>
        <v>6651821.1800000006</v>
      </c>
      <c r="H6" s="39">
        <f t="shared" si="0"/>
        <v>1039504001.9849999</v>
      </c>
      <c r="I6" s="39">
        <f t="shared" si="0"/>
        <v>1419874659.4499998</v>
      </c>
      <c r="J6" s="25">
        <f t="shared" si="0"/>
        <v>419874659.45500004</v>
      </c>
      <c r="K6" s="46">
        <f>(I6*100/D6)-100</f>
        <v>41.987465945709914</v>
      </c>
      <c r="L6" s="25">
        <f>SUM(L8,L37,L70,L116,L119,L130,L133)</f>
        <v>380370657.46500003</v>
      </c>
      <c r="M6" s="46">
        <f>(I6*100/H6)-100</f>
        <v>36.591552965516001</v>
      </c>
    </row>
    <row r="7" spans="1:13" s="2" customFormat="1" x14ac:dyDescent="0.25">
      <c r="A7" s="7"/>
      <c r="B7" s="8"/>
      <c r="C7" s="32"/>
      <c r="D7" s="40"/>
      <c r="E7" s="40"/>
      <c r="F7" s="26"/>
      <c r="G7" s="47"/>
      <c r="H7" s="40"/>
      <c r="I7" s="40"/>
      <c r="J7" s="26"/>
      <c r="K7" s="47"/>
      <c r="L7" s="26"/>
      <c r="M7" s="47"/>
    </row>
    <row r="8" spans="1:13" s="2" customFormat="1" x14ac:dyDescent="0.25">
      <c r="A8" s="5">
        <v>10000</v>
      </c>
      <c r="B8" s="6" t="s">
        <v>3</v>
      </c>
      <c r="C8" s="33"/>
      <c r="D8" s="41">
        <f t="shared" ref="D8:J8" si="1">SUM(D9:D35)</f>
        <v>951163073.14999986</v>
      </c>
      <c r="E8" s="41">
        <f t="shared" si="1"/>
        <v>17477690</v>
      </c>
      <c r="F8" s="27">
        <f t="shared" si="1"/>
        <v>-6651821.1799999997</v>
      </c>
      <c r="G8" s="48">
        <f t="shared" si="1"/>
        <v>6651821.1800000006</v>
      </c>
      <c r="H8" s="41">
        <f t="shared" si="1"/>
        <v>968640763.14999986</v>
      </c>
      <c r="I8" s="41">
        <f t="shared" si="1"/>
        <v>1276226525.2199998</v>
      </c>
      <c r="J8" s="27">
        <f t="shared" si="1"/>
        <v>325063452.07000005</v>
      </c>
      <c r="K8" s="48">
        <f t="shared" ref="K8:K32" si="2">(I8*100/D8)-100</f>
        <v>34.175365007966093</v>
      </c>
      <c r="L8" s="27">
        <f>SUM(L9:L35)</f>
        <v>307585762.07000005</v>
      </c>
      <c r="M8" s="48">
        <f t="shared" ref="M8:M32" si="3">(I8*100/H8)-100</f>
        <v>31.75436898502366</v>
      </c>
    </row>
    <row r="9" spans="1:13" s="2" customFormat="1" x14ac:dyDescent="0.25">
      <c r="A9" s="7"/>
      <c r="B9" s="8">
        <v>11101</v>
      </c>
      <c r="C9" s="32" t="s">
        <v>4</v>
      </c>
      <c r="D9" s="40">
        <v>118393076</v>
      </c>
      <c r="E9" s="40">
        <v>0</v>
      </c>
      <c r="F9" s="26">
        <v>-307056.76</v>
      </c>
      <c r="G9" s="47">
        <v>0</v>
      </c>
      <c r="H9" s="40">
        <f t="shared" ref="H9:H35" si="4">D9+E9</f>
        <v>118393076</v>
      </c>
      <c r="I9" s="40">
        <v>125723179.48</v>
      </c>
      <c r="J9" s="26">
        <f t="shared" ref="J9:J35" si="5">I9-D9</f>
        <v>7330103.4800000042</v>
      </c>
      <c r="K9" s="47">
        <f t="shared" si="2"/>
        <v>6.1913278442060289</v>
      </c>
      <c r="L9" s="26">
        <f t="shared" ref="L9:L35" si="6">I9-H9</f>
        <v>7330103.4800000042</v>
      </c>
      <c r="M9" s="47">
        <f t="shared" si="3"/>
        <v>6.1913278442060289</v>
      </c>
    </row>
    <row r="10" spans="1:13" s="2" customFormat="1" x14ac:dyDescent="0.25">
      <c r="A10" s="7"/>
      <c r="B10" s="8">
        <v>11301</v>
      </c>
      <c r="C10" s="32" t="s">
        <v>5</v>
      </c>
      <c r="D10" s="40">
        <v>264607544.53999999</v>
      </c>
      <c r="E10" s="40">
        <v>4317812</v>
      </c>
      <c r="F10" s="26">
        <v>0</v>
      </c>
      <c r="G10" s="47">
        <v>4928500.8000000007</v>
      </c>
      <c r="H10" s="40">
        <f t="shared" si="4"/>
        <v>268925356.53999996</v>
      </c>
      <c r="I10" s="40">
        <f>274187056.3+7306232+1346065+1346065+1346065+902638+22393680+5421093.21</f>
        <v>314248894.50999999</v>
      </c>
      <c r="J10" s="26">
        <f t="shared" si="5"/>
        <v>49641349.969999999</v>
      </c>
      <c r="K10" s="47">
        <f t="shared" si="2"/>
        <v>18.760368324454888</v>
      </c>
      <c r="L10" s="26">
        <f t="shared" si="6"/>
        <v>45323537.970000029</v>
      </c>
      <c r="M10" s="47">
        <f t="shared" si="3"/>
        <v>16.853575487686896</v>
      </c>
    </row>
    <row r="11" spans="1:13" s="2" customFormat="1" x14ac:dyDescent="0.25">
      <c r="A11" s="7"/>
      <c r="B11" s="9">
        <v>12201</v>
      </c>
      <c r="C11" s="34" t="s">
        <v>6</v>
      </c>
      <c r="D11" s="40">
        <v>3413057.21</v>
      </c>
      <c r="E11" s="40">
        <v>0</v>
      </c>
      <c r="F11" s="26">
        <v>0</v>
      </c>
      <c r="G11" s="47">
        <v>606769.4</v>
      </c>
      <c r="H11" s="40">
        <f t="shared" si="4"/>
        <v>3413057.21</v>
      </c>
      <c r="I11" s="40">
        <v>4000000</v>
      </c>
      <c r="J11" s="26">
        <f t="shared" si="5"/>
        <v>586942.79</v>
      </c>
      <c r="K11" s="47">
        <f t="shared" si="2"/>
        <v>17.196980709268573</v>
      </c>
      <c r="L11" s="26">
        <f t="shared" si="6"/>
        <v>586942.79</v>
      </c>
      <c r="M11" s="47">
        <f t="shared" si="3"/>
        <v>17.196980709268573</v>
      </c>
    </row>
    <row r="12" spans="1:13" s="2" customFormat="1" ht="30" x14ac:dyDescent="0.25">
      <c r="A12" s="7"/>
      <c r="B12" s="8">
        <v>13101</v>
      </c>
      <c r="C12" s="32" t="s">
        <v>7</v>
      </c>
      <c r="D12" s="40">
        <v>3100768.96</v>
      </c>
      <c r="E12" s="40">
        <v>0</v>
      </c>
      <c r="F12" s="26">
        <v>-221923.97</v>
      </c>
      <c r="G12" s="47">
        <v>0</v>
      </c>
      <c r="H12" s="40">
        <f t="shared" si="4"/>
        <v>3100768.96</v>
      </c>
      <c r="I12" s="40">
        <v>3296390.68</v>
      </c>
      <c r="J12" s="26">
        <f t="shared" si="5"/>
        <v>195621.7200000002</v>
      </c>
      <c r="K12" s="47">
        <f t="shared" si="2"/>
        <v>6.3088131532379634</v>
      </c>
      <c r="L12" s="26">
        <f t="shared" si="6"/>
        <v>195621.7200000002</v>
      </c>
      <c r="M12" s="47">
        <f t="shared" si="3"/>
        <v>6.3088131532379634</v>
      </c>
    </row>
    <row r="13" spans="1:13" s="2" customFormat="1" x14ac:dyDescent="0.25">
      <c r="A13" s="7"/>
      <c r="B13" s="8">
        <v>13102</v>
      </c>
      <c r="C13" s="32" t="s">
        <v>8</v>
      </c>
      <c r="D13" s="40">
        <v>3252168.16</v>
      </c>
      <c r="E13" s="40">
        <v>2000000</v>
      </c>
      <c r="F13" s="26">
        <v>0</v>
      </c>
      <c r="G13" s="47">
        <v>0</v>
      </c>
      <c r="H13" s="40">
        <f t="shared" si="4"/>
        <v>5252168.16</v>
      </c>
      <c r="I13" s="40">
        <f>7000000+38975741</f>
        <v>45975741</v>
      </c>
      <c r="J13" s="26">
        <f t="shared" si="5"/>
        <v>42723572.840000004</v>
      </c>
      <c r="K13" s="47">
        <f t="shared" si="2"/>
        <v>1313.695071659517</v>
      </c>
      <c r="L13" s="26">
        <f t="shared" si="6"/>
        <v>40723572.840000004</v>
      </c>
      <c r="M13" s="47">
        <f t="shared" si="3"/>
        <v>775.36688848134668</v>
      </c>
    </row>
    <row r="14" spans="1:13" s="2" customFormat="1" x14ac:dyDescent="0.25">
      <c r="A14" s="7"/>
      <c r="B14" s="8">
        <v>13202</v>
      </c>
      <c r="C14" s="32" t="s">
        <v>9</v>
      </c>
      <c r="D14" s="40">
        <v>31131894.719999999</v>
      </c>
      <c r="E14" s="40">
        <v>0</v>
      </c>
      <c r="F14" s="26">
        <v>-805826.02</v>
      </c>
      <c r="G14" s="47">
        <v>0</v>
      </c>
      <c r="H14" s="40">
        <f t="shared" si="4"/>
        <v>31131894.719999999</v>
      </c>
      <c r="I14" s="40">
        <v>32450937.109999999</v>
      </c>
      <c r="J14" s="26">
        <f t="shared" si="5"/>
        <v>1319042.3900000006</v>
      </c>
      <c r="K14" s="47">
        <f t="shared" si="2"/>
        <v>4.2369486401757968</v>
      </c>
      <c r="L14" s="26">
        <f t="shared" si="6"/>
        <v>1319042.3900000006</v>
      </c>
      <c r="M14" s="47">
        <f t="shared" si="3"/>
        <v>4.2369486401757968</v>
      </c>
    </row>
    <row r="15" spans="1:13" s="2" customFormat="1" x14ac:dyDescent="0.25">
      <c r="A15" s="7"/>
      <c r="B15" s="8">
        <v>13203</v>
      </c>
      <c r="C15" s="32" t="s">
        <v>10</v>
      </c>
      <c r="D15" s="40">
        <v>92451577.530000001</v>
      </c>
      <c r="E15" s="40">
        <v>0</v>
      </c>
      <c r="F15" s="26">
        <v>-2121740.14</v>
      </c>
      <c r="G15" s="47">
        <v>0</v>
      </c>
      <c r="H15" s="40">
        <f t="shared" si="4"/>
        <v>92451577.530000001</v>
      </c>
      <c r="I15" s="40">
        <v>94777623.349999994</v>
      </c>
      <c r="J15" s="26">
        <f t="shared" si="5"/>
        <v>2326045.8199999928</v>
      </c>
      <c r="K15" s="47">
        <f t="shared" si="2"/>
        <v>2.5159612006027743</v>
      </c>
      <c r="L15" s="26">
        <f t="shared" si="6"/>
        <v>2326045.8199999928</v>
      </c>
      <c r="M15" s="47">
        <f t="shared" si="3"/>
        <v>2.5159612006027743</v>
      </c>
    </row>
    <row r="16" spans="1:13" s="2" customFormat="1" x14ac:dyDescent="0.25">
      <c r="A16" s="7"/>
      <c r="B16" s="8">
        <v>13301</v>
      </c>
      <c r="C16" s="32" t="s">
        <v>11</v>
      </c>
      <c r="D16" s="40">
        <v>1477281</v>
      </c>
      <c r="E16" s="40">
        <v>0</v>
      </c>
      <c r="F16" s="26">
        <v>0</v>
      </c>
      <c r="G16" s="47">
        <v>250000</v>
      </c>
      <c r="H16" s="40">
        <f t="shared" si="4"/>
        <v>1477281</v>
      </c>
      <c r="I16" s="40">
        <v>1800000</v>
      </c>
      <c r="J16" s="26">
        <f t="shared" si="5"/>
        <v>322719</v>
      </c>
      <c r="K16" s="47">
        <f t="shared" si="2"/>
        <v>21.845471511513381</v>
      </c>
      <c r="L16" s="26">
        <f t="shared" si="6"/>
        <v>322719</v>
      </c>
      <c r="M16" s="47">
        <f t="shared" si="3"/>
        <v>21.845471511513381</v>
      </c>
    </row>
    <row r="17" spans="1:13" s="2" customFormat="1" x14ac:dyDescent="0.25">
      <c r="A17" s="7"/>
      <c r="B17" s="8">
        <v>13401</v>
      </c>
      <c r="C17" s="32" t="s">
        <v>12</v>
      </c>
      <c r="D17" s="40">
        <v>166000000</v>
      </c>
      <c r="E17" s="40">
        <v>0</v>
      </c>
      <c r="F17" s="26">
        <v>-340942.31999999995</v>
      </c>
      <c r="G17" s="47">
        <v>0</v>
      </c>
      <c r="H17" s="40">
        <f t="shared" si="4"/>
        <v>166000000</v>
      </c>
      <c r="I17" s="40">
        <v>169932417.09</v>
      </c>
      <c r="J17" s="26">
        <f t="shared" si="5"/>
        <v>3932417.0900000036</v>
      </c>
      <c r="K17" s="47">
        <f t="shared" si="2"/>
        <v>2.3689259578313226</v>
      </c>
      <c r="L17" s="26">
        <f t="shared" si="6"/>
        <v>3932417.0900000036</v>
      </c>
      <c r="M17" s="47">
        <f t="shared" si="3"/>
        <v>2.3689259578313226</v>
      </c>
    </row>
    <row r="18" spans="1:13" s="2" customFormat="1" ht="30" x14ac:dyDescent="0.25">
      <c r="A18" s="7"/>
      <c r="B18" s="8">
        <v>14101</v>
      </c>
      <c r="C18" s="32" t="s">
        <v>13</v>
      </c>
      <c r="D18" s="40">
        <v>42494147.079999998</v>
      </c>
      <c r="E18" s="40">
        <v>2711157.72</v>
      </c>
      <c r="F18" s="26">
        <v>0</v>
      </c>
      <c r="G18" s="47">
        <v>0</v>
      </c>
      <c r="H18" s="40">
        <f t="shared" si="4"/>
        <v>45205304.799999997</v>
      </c>
      <c r="I18" s="40">
        <v>43120159.310000002</v>
      </c>
      <c r="J18" s="26">
        <f t="shared" si="5"/>
        <v>626012.23000000417</v>
      </c>
      <c r="K18" s="47">
        <f t="shared" si="2"/>
        <v>1.4731728320642929</v>
      </c>
      <c r="L18" s="26">
        <f t="shared" si="6"/>
        <v>-2085145.4899999946</v>
      </c>
      <c r="M18" s="47">
        <f t="shared" si="3"/>
        <v>-4.6126123896857223</v>
      </c>
    </row>
    <row r="19" spans="1:13" s="2" customFormat="1" ht="30" x14ac:dyDescent="0.25">
      <c r="A19" s="7"/>
      <c r="B19" s="8">
        <v>14102</v>
      </c>
      <c r="C19" s="32" t="s">
        <v>14</v>
      </c>
      <c r="D19" s="40">
        <v>47645117.630000003</v>
      </c>
      <c r="E19" s="40">
        <v>0</v>
      </c>
      <c r="F19" s="26">
        <v>0</v>
      </c>
      <c r="G19" s="47">
        <v>809581.14</v>
      </c>
      <c r="H19" s="40">
        <f t="shared" si="4"/>
        <v>47645117.630000003</v>
      </c>
      <c r="I19" s="40">
        <f>47791654.31+22081441+10000000</f>
        <v>79873095.310000002</v>
      </c>
      <c r="J19" s="26">
        <f t="shared" si="5"/>
        <v>32227977.68</v>
      </c>
      <c r="K19" s="47">
        <f t="shared" si="2"/>
        <v>67.641721299282665</v>
      </c>
      <c r="L19" s="26">
        <f t="shared" si="6"/>
        <v>32227977.68</v>
      </c>
      <c r="M19" s="47">
        <f t="shared" si="3"/>
        <v>67.641721299282665</v>
      </c>
    </row>
    <row r="20" spans="1:13" s="2" customFormat="1" x14ac:dyDescent="0.25">
      <c r="A20" s="7"/>
      <c r="B20" s="8">
        <v>14401</v>
      </c>
      <c r="C20" s="32" t="s">
        <v>15</v>
      </c>
      <c r="D20" s="40">
        <v>1030000</v>
      </c>
      <c r="E20" s="40">
        <v>0</v>
      </c>
      <c r="F20" s="26">
        <v>-479768.59</v>
      </c>
      <c r="G20" s="47">
        <v>0</v>
      </c>
      <c r="H20" s="40">
        <f t="shared" si="4"/>
        <v>1030000</v>
      </c>
      <c r="I20" s="40">
        <v>801727.65</v>
      </c>
      <c r="J20" s="26">
        <f t="shared" si="5"/>
        <v>-228272.34999999998</v>
      </c>
      <c r="K20" s="47">
        <f t="shared" si="2"/>
        <v>-22.162364077669906</v>
      </c>
      <c r="L20" s="26">
        <f t="shared" si="6"/>
        <v>-228272.34999999998</v>
      </c>
      <c r="M20" s="47">
        <f t="shared" si="3"/>
        <v>-22.162364077669906</v>
      </c>
    </row>
    <row r="21" spans="1:13" s="2" customFormat="1" ht="30" x14ac:dyDescent="0.25">
      <c r="A21" s="7"/>
      <c r="B21" s="8">
        <v>14410</v>
      </c>
      <c r="C21" s="32" t="s">
        <v>16</v>
      </c>
      <c r="D21" s="40">
        <v>650000</v>
      </c>
      <c r="E21" s="40">
        <v>0</v>
      </c>
      <c r="F21" s="26">
        <v>-5577.41</v>
      </c>
      <c r="G21" s="47">
        <v>0</v>
      </c>
      <c r="H21" s="40">
        <f t="shared" si="4"/>
        <v>650000</v>
      </c>
      <c r="I21" s="40">
        <v>800000</v>
      </c>
      <c r="J21" s="26">
        <f t="shared" si="5"/>
        <v>150000</v>
      </c>
      <c r="K21" s="47">
        <f t="shared" si="2"/>
        <v>23.07692307692308</v>
      </c>
      <c r="L21" s="26">
        <f t="shared" si="6"/>
        <v>150000</v>
      </c>
      <c r="M21" s="47">
        <f t="shared" si="3"/>
        <v>23.07692307692308</v>
      </c>
    </row>
    <row r="22" spans="1:13" s="2" customFormat="1" ht="30" x14ac:dyDescent="0.25">
      <c r="A22" s="7"/>
      <c r="B22" s="8">
        <v>14412</v>
      </c>
      <c r="C22" s="32" t="s">
        <v>17</v>
      </c>
      <c r="D22" s="40">
        <v>14000000</v>
      </c>
      <c r="E22" s="40">
        <v>0</v>
      </c>
      <c r="F22" s="26">
        <v>-598403.76</v>
      </c>
      <c r="G22" s="47">
        <v>0</v>
      </c>
      <c r="H22" s="40">
        <f t="shared" si="4"/>
        <v>14000000</v>
      </c>
      <c r="I22" s="40">
        <v>15846538.59</v>
      </c>
      <c r="J22" s="26">
        <f t="shared" si="5"/>
        <v>1846538.5899999999</v>
      </c>
      <c r="K22" s="47">
        <f t="shared" si="2"/>
        <v>13.189561357142864</v>
      </c>
      <c r="L22" s="26">
        <f t="shared" si="6"/>
        <v>1846538.5899999999</v>
      </c>
      <c r="M22" s="47">
        <f t="shared" si="3"/>
        <v>13.189561357142864</v>
      </c>
    </row>
    <row r="23" spans="1:13" s="2" customFormat="1" ht="30" x14ac:dyDescent="0.25">
      <c r="A23" s="7"/>
      <c r="B23" s="8">
        <v>15302</v>
      </c>
      <c r="C23" s="32" t="s">
        <v>18</v>
      </c>
      <c r="D23" s="40">
        <v>482168.55</v>
      </c>
      <c r="E23" s="40">
        <v>0</v>
      </c>
      <c r="F23" s="26">
        <v>0</v>
      </c>
      <c r="G23" s="47">
        <v>56969.84</v>
      </c>
      <c r="H23" s="40">
        <f t="shared" si="4"/>
        <v>482168.55</v>
      </c>
      <c r="I23" s="40">
        <v>511201.2</v>
      </c>
      <c r="J23" s="26">
        <f t="shared" si="5"/>
        <v>29032.650000000023</v>
      </c>
      <c r="K23" s="47">
        <f t="shared" si="2"/>
        <v>6.0212658001024835</v>
      </c>
      <c r="L23" s="26">
        <f t="shared" si="6"/>
        <v>29032.650000000023</v>
      </c>
      <c r="M23" s="47">
        <f t="shared" si="3"/>
        <v>6.0212658001024835</v>
      </c>
    </row>
    <row r="24" spans="1:13" s="2" customFormat="1" x14ac:dyDescent="0.25">
      <c r="A24" s="7"/>
      <c r="B24" s="8">
        <v>15401</v>
      </c>
      <c r="C24" s="32" t="s">
        <v>19</v>
      </c>
      <c r="D24" s="40">
        <v>29828373.5</v>
      </c>
      <c r="E24" s="40">
        <v>1710615.85</v>
      </c>
      <c r="F24" s="26">
        <v>0</v>
      </c>
      <c r="G24" s="47">
        <v>0</v>
      </c>
      <c r="H24" s="40">
        <f t="shared" si="4"/>
        <v>31538989.350000001</v>
      </c>
      <c r="I24" s="40">
        <v>32244893.120000001</v>
      </c>
      <c r="J24" s="26">
        <f t="shared" si="5"/>
        <v>2416519.620000001</v>
      </c>
      <c r="K24" s="47">
        <f t="shared" si="2"/>
        <v>8.101412636528778</v>
      </c>
      <c r="L24" s="26">
        <f t="shared" si="6"/>
        <v>705903.76999999955</v>
      </c>
      <c r="M24" s="47">
        <f t="shared" si="3"/>
        <v>2.2381940085851113</v>
      </c>
    </row>
    <row r="25" spans="1:13" s="2" customFormat="1" x14ac:dyDescent="0.25">
      <c r="A25" s="7"/>
      <c r="B25" s="8">
        <v>15402</v>
      </c>
      <c r="C25" s="32" t="s">
        <v>20</v>
      </c>
      <c r="D25" s="40">
        <v>16377119.779999999</v>
      </c>
      <c r="E25" s="40">
        <v>1554361.35</v>
      </c>
      <c r="F25" s="26">
        <v>0</v>
      </c>
      <c r="G25" s="47">
        <v>0</v>
      </c>
      <c r="H25" s="40">
        <f t="shared" si="4"/>
        <v>17931481.129999999</v>
      </c>
      <c r="I25" s="40">
        <v>17694965</v>
      </c>
      <c r="J25" s="26">
        <f t="shared" si="5"/>
        <v>1317845.2200000007</v>
      </c>
      <c r="K25" s="47">
        <f t="shared" si="2"/>
        <v>8.0468680555745493</v>
      </c>
      <c r="L25" s="26">
        <f t="shared" si="6"/>
        <v>-236516.12999999896</v>
      </c>
      <c r="M25" s="47">
        <f t="shared" si="3"/>
        <v>-1.31899940827698</v>
      </c>
    </row>
    <row r="26" spans="1:13" s="2" customFormat="1" x14ac:dyDescent="0.25">
      <c r="A26" s="7"/>
      <c r="B26" s="8">
        <v>15403</v>
      </c>
      <c r="C26" s="32" t="s">
        <v>21</v>
      </c>
      <c r="D26" s="40">
        <v>61450576.520000003</v>
      </c>
      <c r="E26" s="40">
        <v>3314318.49</v>
      </c>
      <c r="F26" s="26">
        <v>0</v>
      </c>
      <c r="G26" s="47">
        <v>0</v>
      </c>
      <c r="H26" s="40">
        <f t="shared" si="4"/>
        <v>64764895.010000005</v>
      </c>
      <c r="I26" s="40">
        <v>66429888.68</v>
      </c>
      <c r="J26" s="26">
        <f t="shared" si="5"/>
        <v>4979312.1599999964</v>
      </c>
      <c r="K26" s="47">
        <f t="shared" si="2"/>
        <v>8.1029543447479426</v>
      </c>
      <c r="L26" s="26">
        <f t="shared" si="6"/>
        <v>1664993.6699999943</v>
      </c>
      <c r="M26" s="47">
        <f t="shared" si="3"/>
        <v>2.5708274054067601</v>
      </c>
    </row>
    <row r="27" spans="1:13" s="2" customFormat="1" x14ac:dyDescent="0.25">
      <c r="A27" s="7"/>
      <c r="B27" s="8">
        <v>15404</v>
      </c>
      <c r="C27" s="32" t="s">
        <v>22</v>
      </c>
      <c r="D27" s="40">
        <v>14380529.220000001</v>
      </c>
      <c r="E27" s="40">
        <v>883093.18</v>
      </c>
      <c r="F27" s="26">
        <v>0</v>
      </c>
      <c r="G27" s="47">
        <v>0</v>
      </c>
      <c r="H27" s="40">
        <f t="shared" si="4"/>
        <v>15263622.4</v>
      </c>
      <c r="I27" s="40">
        <v>15656141.68</v>
      </c>
      <c r="J27" s="26">
        <f t="shared" si="5"/>
        <v>1275612.459999999</v>
      </c>
      <c r="K27" s="47">
        <f t="shared" si="2"/>
        <v>8.8704138803592656</v>
      </c>
      <c r="L27" s="26">
        <f t="shared" si="6"/>
        <v>392519.27999999933</v>
      </c>
      <c r="M27" s="47">
        <f t="shared" si="3"/>
        <v>2.5715997796171877</v>
      </c>
    </row>
    <row r="28" spans="1:13" s="2" customFormat="1" x14ac:dyDescent="0.25">
      <c r="A28" s="7"/>
      <c r="B28" s="8">
        <v>15405</v>
      </c>
      <c r="C28" s="32" t="s">
        <v>23</v>
      </c>
      <c r="D28" s="40">
        <v>6260556.25</v>
      </c>
      <c r="E28" s="40">
        <v>0</v>
      </c>
      <c r="F28" s="26">
        <v>-338317.45</v>
      </c>
      <c r="G28" s="47">
        <v>0</v>
      </c>
      <c r="H28" s="40">
        <f t="shared" si="4"/>
        <v>6260556.25</v>
      </c>
      <c r="I28" s="40">
        <v>6191467.0800000001</v>
      </c>
      <c r="J28" s="26">
        <f t="shared" si="5"/>
        <v>-69089.169999999925</v>
      </c>
      <c r="K28" s="47">
        <f t="shared" si="2"/>
        <v>-1.1035628024267083</v>
      </c>
      <c r="L28" s="26">
        <f t="shared" si="6"/>
        <v>-69089.169999999925</v>
      </c>
      <c r="M28" s="47">
        <f t="shared" si="3"/>
        <v>-1.1035628024267083</v>
      </c>
    </row>
    <row r="29" spans="1:13" s="2" customFormat="1" x14ac:dyDescent="0.25">
      <c r="A29" s="7"/>
      <c r="B29" s="8">
        <v>15406</v>
      </c>
      <c r="C29" s="32" t="s">
        <v>24</v>
      </c>
      <c r="D29" s="40">
        <v>11507475.539999999</v>
      </c>
      <c r="E29" s="40">
        <v>986331.41</v>
      </c>
      <c r="F29" s="26">
        <v>0</v>
      </c>
      <c r="G29" s="47">
        <v>0</v>
      </c>
      <c r="H29" s="40">
        <f t="shared" si="4"/>
        <v>12493806.949999999</v>
      </c>
      <c r="I29" s="40">
        <v>12778264.52</v>
      </c>
      <c r="J29" s="26">
        <f t="shared" si="5"/>
        <v>1270788.9800000004</v>
      </c>
      <c r="K29" s="47">
        <f t="shared" si="2"/>
        <v>11.043160383723929</v>
      </c>
      <c r="L29" s="26">
        <f t="shared" si="6"/>
        <v>284457.5700000003</v>
      </c>
      <c r="M29" s="47">
        <f t="shared" si="3"/>
        <v>2.2767885812418456</v>
      </c>
    </row>
    <row r="30" spans="1:13" s="2" customFormat="1" x14ac:dyDescent="0.25">
      <c r="A30" s="7"/>
      <c r="B30" s="8">
        <v>15412</v>
      </c>
      <c r="C30" s="32" t="s">
        <v>25</v>
      </c>
      <c r="D30" s="40">
        <v>3897376.2</v>
      </c>
      <c r="E30" s="40">
        <v>0</v>
      </c>
      <c r="F30" s="26">
        <v>0</v>
      </c>
      <c r="G30" s="47">
        <v>0</v>
      </c>
      <c r="H30" s="40">
        <f t="shared" si="4"/>
        <v>3897376.2</v>
      </c>
      <c r="I30" s="40">
        <v>4326673.8600000003</v>
      </c>
      <c r="J30" s="26">
        <f t="shared" si="5"/>
        <v>429297.66000000015</v>
      </c>
      <c r="K30" s="47">
        <f t="shared" si="2"/>
        <v>11.015042889624056</v>
      </c>
      <c r="L30" s="26">
        <f t="shared" si="6"/>
        <v>429297.66000000015</v>
      </c>
      <c r="M30" s="47">
        <f t="shared" si="3"/>
        <v>11.015042889624056</v>
      </c>
    </row>
    <row r="31" spans="1:13" s="2" customFormat="1" ht="30" x14ac:dyDescent="0.25">
      <c r="A31" s="7"/>
      <c r="B31" s="8">
        <v>15913</v>
      </c>
      <c r="C31" s="32" t="s">
        <v>26</v>
      </c>
      <c r="D31" s="40">
        <v>5060000</v>
      </c>
      <c r="E31" s="40">
        <v>0</v>
      </c>
      <c r="F31" s="26">
        <v>0</v>
      </c>
      <c r="G31" s="47">
        <v>0</v>
      </c>
      <c r="H31" s="40">
        <f t="shared" si="4"/>
        <v>5060000</v>
      </c>
      <c r="I31" s="40">
        <v>5060000</v>
      </c>
      <c r="J31" s="26">
        <f t="shared" si="5"/>
        <v>0</v>
      </c>
      <c r="K31" s="47">
        <f t="shared" si="2"/>
        <v>0</v>
      </c>
      <c r="L31" s="26">
        <f t="shared" si="6"/>
        <v>0</v>
      </c>
      <c r="M31" s="47">
        <f t="shared" si="3"/>
        <v>0</v>
      </c>
    </row>
    <row r="32" spans="1:13" s="2" customFormat="1" x14ac:dyDescent="0.25">
      <c r="A32" s="7"/>
      <c r="B32" s="8">
        <v>15914</v>
      </c>
      <c r="C32" s="32" t="s">
        <v>27</v>
      </c>
      <c r="D32" s="40">
        <v>672000</v>
      </c>
      <c r="E32" s="40">
        <v>0</v>
      </c>
      <c r="F32" s="26">
        <v>-672000</v>
      </c>
      <c r="G32" s="47">
        <v>0</v>
      </c>
      <c r="H32" s="40">
        <f t="shared" si="4"/>
        <v>672000</v>
      </c>
      <c r="I32" s="40">
        <v>0</v>
      </c>
      <c r="J32" s="26">
        <f t="shared" si="5"/>
        <v>-672000</v>
      </c>
      <c r="K32" s="47">
        <f t="shared" si="2"/>
        <v>-100</v>
      </c>
      <c r="L32" s="26">
        <f t="shared" si="6"/>
        <v>-672000</v>
      </c>
      <c r="M32" s="47">
        <f t="shared" si="3"/>
        <v>-100</v>
      </c>
    </row>
    <row r="33" spans="1:13" s="2" customFormat="1" ht="30" x14ac:dyDescent="0.25">
      <c r="A33" s="7"/>
      <c r="B33" s="8">
        <v>16101</v>
      </c>
      <c r="C33" s="32" t="s">
        <v>137</v>
      </c>
      <c r="D33" s="40"/>
      <c r="E33" s="40">
        <v>0</v>
      </c>
      <c r="F33" s="26">
        <v>0</v>
      </c>
      <c r="G33" s="47">
        <v>0</v>
      </c>
      <c r="H33" s="40">
        <f t="shared" si="4"/>
        <v>0</v>
      </c>
      <c r="I33" s="40">
        <v>26000000</v>
      </c>
      <c r="J33" s="26">
        <f t="shared" si="5"/>
        <v>26000000</v>
      </c>
      <c r="K33" s="47">
        <v>100</v>
      </c>
      <c r="L33" s="26">
        <f t="shared" si="6"/>
        <v>26000000</v>
      </c>
      <c r="M33" s="47">
        <v>100</v>
      </c>
    </row>
    <row r="34" spans="1:13" s="2" customFormat="1" x14ac:dyDescent="0.25">
      <c r="A34" s="7"/>
      <c r="B34" s="8">
        <v>17101</v>
      </c>
      <c r="C34" s="32" t="s">
        <v>28</v>
      </c>
      <c r="D34" s="40">
        <v>11600264.76</v>
      </c>
      <c r="E34" s="40">
        <v>0</v>
      </c>
      <c r="F34" s="26">
        <v>-760264.76</v>
      </c>
      <c r="G34" s="47">
        <v>0</v>
      </c>
      <c r="H34" s="40">
        <f t="shared" si="4"/>
        <v>11600264.76</v>
      </c>
      <c r="I34" s="40">
        <v>14143200</v>
      </c>
      <c r="J34" s="26">
        <f t="shared" si="5"/>
        <v>2542935.2400000002</v>
      </c>
      <c r="K34" s="47">
        <f>(I34*100/D34)-100</f>
        <v>21.92135518120709</v>
      </c>
      <c r="L34" s="26">
        <f t="shared" si="6"/>
        <v>2542935.2400000002</v>
      </c>
      <c r="M34" s="47">
        <f>(I34*100/H34)-100</f>
        <v>21.92135518120709</v>
      </c>
    </row>
    <row r="35" spans="1:13" s="2" customFormat="1" x14ac:dyDescent="0.25">
      <c r="A35" s="7"/>
      <c r="B35" s="8"/>
      <c r="C35" s="32" t="s">
        <v>139</v>
      </c>
      <c r="D35" s="40"/>
      <c r="E35" s="40">
        <v>0</v>
      </c>
      <c r="F35" s="26">
        <v>0</v>
      </c>
      <c r="G35" s="47">
        <v>0</v>
      </c>
      <c r="H35" s="40">
        <f t="shared" si="4"/>
        <v>0</v>
      </c>
      <c r="I35" s="40">
        <v>142543126</v>
      </c>
      <c r="J35" s="26">
        <f t="shared" si="5"/>
        <v>142543126</v>
      </c>
      <c r="K35" s="47">
        <v>100</v>
      </c>
      <c r="L35" s="26">
        <f t="shared" si="6"/>
        <v>142543126</v>
      </c>
      <c r="M35" s="47">
        <v>100</v>
      </c>
    </row>
    <row r="36" spans="1:13" s="2" customFormat="1" x14ac:dyDescent="0.25">
      <c r="A36" s="7"/>
      <c r="B36" s="8"/>
      <c r="C36" s="32"/>
      <c r="D36" s="40"/>
      <c r="E36" s="40"/>
      <c r="F36" s="26"/>
      <c r="G36" s="47"/>
      <c r="H36" s="40"/>
      <c r="I36" s="40"/>
      <c r="J36" s="26"/>
      <c r="K36" s="47"/>
      <c r="L36" s="26"/>
      <c r="M36" s="47"/>
    </row>
    <row r="37" spans="1:13" s="2" customFormat="1" x14ac:dyDescent="0.25">
      <c r="A37" s="5">
        <v>20000</v>
      </c>
      <c r="B37" s="6" t="s">
        <v>29</v>
      </c>
      <c r="C37" s="33"/>
      <c r="D37" s="41">
        <f t="shared" ref="D37:J37" si="7">SUM(D38:D68)</f>
        <v>15158792.625000004</v>
      </c>
      <c r="E37" s="41">
        <f t="shared" si="7"/>
        <v>2399000</v>
      </c>
      <c r="F37" s="27">
        <f t="shared" si="7"/>
        <v>0</v>
      </c>
      <c r="G37" s="48">
        <f t="shared" si="7"/>
        <v>0</v>
      </c>
      <c r="H37" s="41">
        <f t="shared" si="7"/>
        <v>17557792.625</v>
      </c>
      <c r="I37" s="41">
        <f t="shared" si="7"/>
        <v>25214425.710000001</v>
      </c>
      <c r="J37" s="27">
        <f t="shared" si="7"/>
        <v>10055633.084999999</v>
      </c>
      <c r="K37" s="48">
        <f t="shared" ref="K37:K48" si="8">(I37*100/D37)-100</f>
        <v>66.335316629479877</v>
      </c>
      <c r="L37" s="27">
        <f t="shared" ref="L37:L68" si="9">I37-H37</f>
        <v>7656633.0850000009</v>
      </c>
      <c r="M37" s="48">
        <f t="shared" ref="M37:M48" si="10">(I37*100/H37)-100</f>
        <v>43.608175859748769</v>
      </c>
    </row>
    <row r="38" spans="1:13" s="2" customFormat="1" x14ac:dyDescent="0.25">
      <c r="A38" s="7"/>
      <c r="B38" s="8">
        <v>21101</v>
      </c>
      <c r="C38" s="32" t="s">
        <v>30</v>
      </c>
      <c r="D38" s="42">
        <f>4284443+0.29</f>
        <v>4284443.29</v>
      </c>
      <c r="E38" s="42">
        <v>0</v>
      </c>
      <c r="F38" s="28">
        <v>0</v>
      </c>
      <c r="G38" s="49">
        <v>0</v>
      </c>
      <c r="H38" s="42">
        <f t="shared" ref="H38:H39" si="11">D38+E38</f>
        <v>4284443.29</v>
      </c>
      <c r="I38" s="42">
        <f>5103890-37000+6319.8</f>
        <v>5073209.8</v>
      </c>
      <c r="J38" s="28">
        <f t="shared" ref="J38:J68" si="12">I38-D38</f>
        <v>788766.50999999978</v>
      </c>
      <c r="K38" s="49">
        <f t="shared" si="8"/>
        <v>18.41001167738645</v>
      </c>
      <c r="L38" s="28">
        <f t="shared" si="9"/>
        <v>788766.50999999978</v>
      </c>
      <c r="M38" s="49">
        <f t="shared" si="10"/>
        <v>18.41001167738645</v>
      </c>
    </row>
    <row r="39" spans="1:13" s="2" customFormat="1" x14ac:dyDescent="0.25">
      <c r="A39" s="7"/>
      <c r="B39" s="8">
        <v>21102</v>
      </c>
      <c r="C39" s="32" t="s">
        <v>31</v>
      </c>
      <c r="D39" s="42">
        <v>25799.97</v>
      </c>
      <c r="E39" s="42">
        <v>0</v>
      </c>
      <c r="F39" s="28">
        <v>0</v>
      </c>
      <c r="G39" s="49">
        <v>0</v>
      </c>
      <c r="H39" s="42">
        <f t="shared" si="11"/>
        <v>25799.97</v>
      </c>
      <c r="I39" s="42">
        <v>41960</v>
      </c>
      <c r="J39" s="28">
        <f t="shared" si="12"/>
        <v>16160.029999999999</v>
      </c>
      <c r="K39" s="49">
        <f t="shared" si="8"/>
        <v>62.635848026179872</v>
      </c>
      <c r="L39" s="28">
        <f t="shared" si="9"/>
        <v>16160.029999999999</v>
      </c>
      <c r="M39" s="49">
        <f t="shared" si="10"/>
        <v>62.635848026179872</v>
      </c>
    </row>
    <row r="40" spans="1:13" s="2" customFormat="1" ht="30" x14ac:dyDescent="0.25">
      <c r="A40" s="7"/>
      <c r="B40" s="8">
        <v>21201</v>
      </c>
      <c r="C40" s="32" t="s">
        <v>32</v>
      </c>
      <c r="D40" s="42">
        <v>189460.8</v>
      </c>
      <c r="E40" s="42">
        <v>0</v>
      </c>
      <c r="F40" s="28">
        <v>0</v>
      </c>
      <c r="G40" s="49">
        <v>0</v>
      </c>
      <c r="H40" s="42">
        <f t="shared" ref="H40" si="13">D40+E40</f>
        <v>189460.8</v>
      </c>
      <c r="I40" s="42">
        <f>224460.84+2433</f>
        <v>226893.84</v>
      </c>
      <c r="J40" s="28">
        <f t="shared" si="12"/>
        <v>37433.040000000008</v>
      </c>
      <c r="K40" s="49">
        <f t="shared" si="8"/>
        <v>19.757670188239473</v>
      </c>
      <c r="L40" s="28">
        <f t="shared" si="9"/>
        <v>37433.040000000008</v>
      </c>
      <c r="M40" s="49">
        <f t="shared" si="10"/>
        <v>19.757670188239473</v>
      </c>
    </row>
    <row r="41" spans="1:13" s="2" customFormat="1" ht="45" x14ac:dyDescent="0.25">
      <c r="A41" s="7"/>
      <c r="B41" s="8">
        <v>21401</v>
      </c>
      <c r="C41" s="32" t="s">
        <v>33</v>
      </c>
      <c r="D41" s="42">
        <v>1911245</v>
      </c>
      <c r="E41" s="42">
        <v>0</v>
      </c>
      <c r="F41" s="28">
        <v>0</v>
      </c>
      <c r="G41" s="49">
        <v>0</v>
      </c>
      <c r="H41" s="42">
        <f t="shared" ref="H41" si="14">D41+E41</f>
        <v>1911245</v>
      </c>
      <c r="I41" s="42">
        <v>2018348</v>
      </c>
      <c r="J41" s="28">
        <f t="shared" si="12"/>
        <v>107103</v>
      </c>
      <c r="K41" s="49">
        <f t="shared" si="8"/>
        <v>5.6038341499912292</v>
      </c>
      <c r="L41" s="28">
        <f t="shared" si="9"/>
        <v>107103</v>
      </c>
      <c r="M41" s="49">
        <f t="shared" si="10"/>
        <v>5.6038341499912292</v>
      </c>
    </row>
    <row r="42" spans="1:13" s="2" customFormat="1" x14ac:dyDescent="0.25">
      <c r="A42" s="7"/>
      <c r="B42" s="8">
        <v>21501</v>
      </c>
      <c r="C42" s="32" t="s">
        <v>34</v>
      </c>
      <c r="D42" s="42">
        <v>271652.21000000002</v>
      </c>
      <c r="E42" s="42">
        <v>0</v>
      </c>
      <c r="F42" s="28">
        <v>0</v>
      </c>
      <c r="G42" s="49">
        <v>0</v>
      </c>
      <c r="H42" s="42">
        <f t="shared" ref="H42" si="15">D42+E42</f>
        <v>271652.21000000002</v>
      </c>
      <c r="I42" s="42">
        <f>298817.61-12000</f>
        <v>286817.61</v>
      </c>
      <c r="J42" s="28">
        <f t="shared" si="12"/>
        <v>15165.399999999965</v>
      </c>
      <c r="K42" s="49">
        <f t="shared" si="8"/>
        <v>5.582652907554106</v>
      </c>
      <c r="L42" s="28">
        <f t="shared" si="9"/>
        <v>15165.399999999965</v>
      </c>
      <c r="M42" s="49">
        <f t="shared" si="10"/>
        <v>5.582652907554106</v>
      </c>
    </row>
    <row r="43" spans="1:13" s="2" customFormat="1" x14ac:dyDescent="0.25">
      <c r="A43" s="7"/>
      <c r="B43" s="8">
        <v>21601</v>
      </c>
      <c r="C43" s="32" t="s">
        <v>35</v>
      </c>
      <c r="D43" s="42">
        <v>919274.96</v>
      </c>
      <c r="E43" s="42">
        <v>0</v>
      </c>
      <c r="F43" s="28">
        <v>0</v>
      </c>
      <c r="G43" s="49">
        <v>0</v>
      </c>
      <c r="H43" s="42">
        <f t="shared" ref="H43" si="16">D43+E43</f>
        <v>919274.96</v>
      </c>
      <c r="I43" s="42">
        <f>1011202.45+5090.85</f>
        <v>1016293.2999999999</v>
      </c>
      <c r="J43" s="28">
        <f t="shared" si="12"/>
        <v>97018.339999999967</v>
      </c>
      <c r="K43" s="49">
        <f t="shared" si="8"/>
        <v>10.553789042616813</v>
      </c>
      <c r="L43" s="28">
        <f t="shared" si="9"/>
        <v>97018.339999999967</v>
      </c>
      <c r="M43" s="49">
        <f t="shared" si="10"/>
        <v>10.553789042616813</v>
      </c>
    </row>
    <row r="44" spans="1:13" s="2" customFormat="1" x14ac:dyDescent="0.25">
      <c r="A44" s="7"/>
      <c r="B44" s="8">
        <v>21801</v>
      </c>
      <c r="C44" s="32" t="s">
        <v>36</v>
      </c>
      <c r="D44" s="42">
        <v>19423.2</v>
      </c>
      <c r="E44" s="42">
        <v>0</v>
      </c>
      <c r="F44" s="28">
        <v>0</v>
      </c>
      <c r="G44" s="49">
        <v>0</v>
      </c>
      <c r="H44" s="42">
        <f t="shared" ref="H44" si="17">D44+E44</f>
        <v>19423.2</v>
      </c>
      <c r="I44" s="42">
        <v>25923.200000000001</v>
      </c>
      <c r="J44" s="28">
        <f t="shared" si="12"/>
        <v>6500</v>
      </c>
      <c r="K44" s="49">
        <f t="shared" si="8"/>
        <v>33.465134478355765</v>
      </c>
      <c r="L44" s="28">
        <f t="shared" si="9"/>
        <v>6500</v>
      </c>
      <c r="M44" s="49">
        <f t="shared" si="10"/>
        <v>33.465134478355765</v>
      </c>
    </row>
    <row r="45" spans="1:13" s="2" customFormat="1" x14ac:dyDescent="0.25">
      <c r="A45" s="7"/>
      <c r="B45" s="8">
        <v>22104</v>
      </c>
      <c r="C45" s="32" t="s">
        <v>37</v>
      </c>
      <c r="D45" s="42">
        <v>36956.400000000001</v>
      </c>
      <c r="E45" s="42">
        <v>0</v>
      </c>
      <c r="F45" s="28">
        <v>0</v>
      </c>
      <c r="G45" s="49">
        <v>0</v>
      </c>
      <c r="H45" s="42">
        <f t="shared" ref="H45:H47" si="18">D45+E45</f>
        <v>36956.400000000001</v>
      </c>
      <c r="I45" s="42">
        <v>36956.400000000001</v>
      </c>
      <c r="J45" s="28">
        <f t="shared" si="12"/>
        <v>0</v>
      </c>
      <c r="K45" s="49">
        <f t="shared" si="8"/>
        <v>0</v>
      </c>
      <c r="L45" s="28">
        <f t="shared" si="9"/>
        <v>0</v>
      </c>
      <c r="M45" s="49">
        <f t="shared" si="10"/>
        <v>0</v>
      </c>
    </row>
    <row r="46" spans="1:13" s="2" customFormat="1" x14ac:dyDescent="0.25">
      <c r="A46" s="7"/>
      <c r="B46" s="8">
        <v>22105</v>
      </c>
      <c r="C46" s="32" t="s">
        <v>38</v>
      </c>
      <c r="D46" s="42">
        <v>266511.46999999997</v>
      </c>
      <c r="E46" s="42">
        <v>0</v>
      </c>
      <c r="F46" s="28">
        <v>0</v>
      </c>
      <c r="G46" s="49">
        <v>0</v>
      </c>
      <c r="H46" s="42">
        <f t="shared" si="18"/>
        <v>266511.46999999997</v>
      </c>
      <c r="I46" s="42">
        <v>293162.61</v>
      </c>
      <c r="J46" s="28">
        <f t="shared" si="12"/>
        <v>26651.140000000014</v>
      </c>
      <c r="K46" s="49">
        <f t="shared" si="8"/>
        <v>9.9999973734714018</v>
      </c>
      <c r="L46" s="28">
        <f t="shared" si="9"/>
        <v>26651.140000000014</v>
      </c>
      <c r="M46" s="49">
        <f t="shared" si="10"/>
        <v>9.9999973734714018</v>
      </c>
    </row>
    <row r="47" spans="1:13" s="2" customFormat="1" x14ac:dyDescent="0.25">
      <c r="A47" s="7"/>
      <c r="B47" s="8">
        <v>22106</v>
      </c>
      <c r="C47" s="32" t="s">
        <v>39</v>
      </c>
      <c r="D47" s="42">
        <v>37847.35</v>
      </c>
      <c r="E47" s="42">
        <v>0</v>
      </c>
      <c r="F47" s="28">
        <v>0</v>
      </c>
      <c r="G47" s="49">
        <v>0</v>
      </c>
      <c r="H47" s="42">
        <f t="shared" si="18"/>
        <v>37847.35</v>
      </c>
      <c r="I47" s="42">
        <v>47416.81</v>
      </c>
      <c r="J47" s="28">
        <f t="shared" si="12"/>
        <v>9569.4599999999991</v>
      </c>
      <c r="K47" s="49">
        <f t="shared" si="8"/>
        <v>25.28435940693339</v>
      </c>
      <c r="L47" s="28">
        <f t="shared" si="9"/>
        <v>9569.4599999999991</v>
      </c>
      <c r="M47" s="49">
        <f t="shared" si="10"/>
        <v>25.28435940693339</v>
      </c>
    </row>
    <row r="48" spans="1:13" s="2" customFormat="1" ht="30" x14ac:dyDescent="0.25">
      <c r="A48" s="7"/>
      <c r="B48" s="10">
        <v>22301</v>
      </c>
      <c r="C48" s="35" t="s">
        <v>40</v>
      </c>
      <c r="D48" s="42">
        <v>5111.3999999999996</v>
      </c>
      <c r="E48" s="42">
        <v>0</v>
      </c>
      <c r="F48" s="28">
        <v>0</v>
      </c>
      <c r="G48" s="49">
        <v>0</v>
      </c>
      <c r="H48" s="42">
        <f t="shared" ref="H48" si="19">D48+E48</f>
        <v>5111.3999999999996</v>
      </c>
      <c r="I48" s="42">
        <v>5111.3999999999996</v>
      </c>
      <c r="J48" s="28">
        <f t="shared" si="12"/>
        <v>0</v>
      </c>
      <c r="K48" s="49">
        <f t="shared" si="8"/>
        <v>0</v>
      </c>
      <c r="L48" s="28">
        <f t="shared" si="9"/>
        <v>0</v>
      </c>
      <c r="M48" s="49">
        <f t="shared" si="10"/>
        <v>0</v>
      </c>
    </row>
    <row r="49" spans="1:13" s="2" customFormat="1" x14ac:dyDescent="0.25">
      <c r="A49" s="7"/>
      <c r="B49" s="8">
        <v>24301</v>
      </c>
      <c r="C49" s="32" t="s">
        <v>41</v>
      </c>
      <c r="D49" s="42"/>
      <c r="E49" s="42">
        <v>0</v>
      </c>
      <c r="F49" s="28">
        <v>0</v>
      </c>
      <c r="G49" s="49">
        <v>0</v>
      </c>
      <c r="H49" s="42">
        <f t="shared" ref="H49:H72" si="20">D49+E49</f>
        <v>0</v>
      </c>
      <c r="I49" s="42">
        <v>130998</v>
      </c>
      <c r="J49" s="28">
        <f t="shared" si="12"/>
        <v>130998</v>
      </c>
      <c r="K49" s="49">
        <v>100</v>
      </c>
      <c r="L49" s="28">
        <f t="shared" si="9"/>
        <v>130998</v>
      </c>
      <c r="M49" s="49">
        <v>100</v>
      </c>
    </row>
    <row r="50" spans="1:13" s="2" customFormat="1" x14ac:dyDescent="0.25">
      <c r="A50" s="7"/>
      <c r="B50" s="8">
        <v>24601</v>
      </c>
      <c r="C50" s="32" t="s">
        <v>42</v>
      </c>
      <c r="D50" s="42">
        <v>433403.52</v>
      </c>
      <c r="E50" s="42">
        <v>0</v>
      </c>
      <c r="F50" s="28">
        <v>0</v>
      </c>
      <c r="G50" s="49">
        <v>0</v>
      </c>
      <c r="H50" s="42">
        <f t="shared" ref="H50" si="21">D50+E50</f>
        <v>433403.52</v>
      </c>
      <c r="I50" s="42">
        <f>848294.55+66.2</f>
        <v>848360.75</v>
      </c>
      <c r="J50" s="28">
        <f t="shared" si="12"/>
        <v>414957.23</v>
      </c>
      <c r="K50" s="49">
        <f t="shared" ref="K50:K68" si="22">(I50*100/D50)-100</f>
        <v>95.743853210975288</v>
      </c>
      <c r="L50" s="28">
        <f t="shared" si="9"/>
        <v>414957.23</v>
      </c>
      <c r="M50" s="49">
        <f t="shared" ref="M50:M68" si="23">(I50*100/H50)-100</f>
        <v>95.743853210975288</v>
      </c>
    </row>
    <row r="51" spans="1:13" s="2" customFormat="1" x14ac:dyDescent="0.25">
      <c r="A51" s="7"/>
      <c r="B51" s="8">
        <v>24701</v>
      </c>
      <c r="C51" s="32" t="s">
        <v>43</v>
      </c>
      <c r="D51" s="42">
        <v>15334.13</v>
      </c>
      <c r="E51" s="42">
        <v>0</v>
      </c>
      <c r="F51" s="28">
        <v>0</v>
      </c>
      <c r="G51" s="49">
        <v>0</v>
      </c>
      <c r="H51" s="42">
        <f t="shared" ref="H51" si="24">D51+E51</f>
        <v>15334.13</v>
      </c>
      <c r="I51" s="42">
        <v>85700</v>
      </c>
      <c r="J51" s="28">
        <f t="shared" si="12"/>
        <v>70365.87</v>
      </c>
      <c r="K51" s="49">
        <f t="shared" si="22"/>
        <v>458.88400580926339</v>
      </c>
      <c r="L51" s="28">
        <f t="shared" si="9"/>
        <v>70365.87</v>
      </c>
      <c r="M51" s="49">
        <f t="shared" si="23"/>
        <v>458.88400580926339</v>
      </c>
    </row>
    <row r="52" spans="1:13" s="2" customFormat="1" x14ac:dyDescent="0.25">
      <c r="A52" s="7"/>
      <c r="B52" s="8">
        <v>24801</v>
      </c>
      <c r="C52" s="32" t="s">
        <v>44</v>
      </c>
      <c r="D52" s="42">
        <v>25556.880000000001</v>
      </c>
      <c r="E52" s="42">
        <v>0</v>
      </c>
      <c r="F52" s="28">
        <v>0</v>
      </c>
      <c r="G52" s="49">
        <v>0</v>
      </c>
      <c r="H52" s="42">
        <f t="shared" ref="H52" si="25">D52+E52</f>
        <v>25556.880000000001</v>
      </c>
      <c r="I52" s="42">
        <v>125279.12</v>
      </c>
      <c r="J52" s="28">
        <f t="shared" si="12"/>
        <v>99722.239999999991</v>
      </c>
      <c r="K52" s="49">
        <f t="shared" si="22"/>
        <v>390.19723847355385</v>
      </c>
      <c r="L52" s="28">
        <f t="shared" si="9"/>
        <v>99722.239999999991</v>
      </c>
      <c r="M52" s="49">
        <f t="shared" si="23"/>
        <v>390.19723847355385</v>
      </c>
    </row>
    <row r="53" spans="1:13" s="2" customFormat="1" ht="30" x14ac:dyDescent="0.25">
      <c r="A53" s="7"/>
      <c r="B53" s="8">
        <v>24901</v>
      </c>
      <c r="C53" s="32" t="s">
        <v>45</v>
      </c>
      <c r="D53" s="42">
        <v>388388.31</v>
      </c>
      <c r="E53" s="42">
        <v>0</v>
      </c>
      <c r="F53" s="28">
        <v>0</v>
      </c>
      <c r="G53" s="49">
        <v>0</v>
      </c>
      <c r="H53" s="42">
        <f t="shared" ref="H53" si="26">D53+E53</f>
        <v>388388.31</v>
      </c>
      <c r="I53" s="42">
        <v>1771303.99</v>
      </c>
      <c r="J53" s="28">
        <f t="shared" si="12"/>
        <v>1382915.68</v>
      </c>
      <c r="K53" s="49">
        <f t="shared" si="22"/>
        <v>356.06521730790507</v>
      </c>
      <c r="L53" s="28">
        <f t="shared" si="9"/>
        <v>1382915.68</v>
      </c>
      <c r="M53" s="49">
        <f t="shared" si="23"/>
        <v>356.06521730790507</v>
      </c>
    </row>
    <row r="54" spans="1:13" s="2" customFormat="1" x14ac:dyDescent="0.25">
      <c r="A54" s="7"/>
      <c r="B54" s="8">
        <v>25301</v>
      </c>
      <c r="C54" s="32" t="s">
        <v>46</v>
      </c>
      <c r="D54" s="42">
        <v>102150.25</v>
      </c>
      <c r="E54" s="42">
        <v>0</v>
      </c>
      <c r="F54" s="28">
        <v>0</v>
      </c>
      <c r="G54" s="49">
        <v>0</v>
      </c>
      <c r="H54" s="42">
        <f t="shared" ref="H54" si="27">D54+E54</f>
        <v>102150.25</v>
      </c>
      <c r="I54" s="42">
        <f>152150.24+9039.96</f>
        <v>161190.19999999998</v>
      </c>
      <c r="J54" s="28">
        <f t="shared" si="12"/>
        <v>59039.949999999983</v>
      </c>
      <c r="K54" s="49">
        <f t="shared" si="22"/>
        <v>57.797166428863335</v>
      </c>
      <c r="L54" s="28">
        <f t="shared" si="9"/>
        <v>59039.949999999983</v>
      </c>
      <c r="M54" s="49">
        <f t="shared" si="23"/>
        <v>57.797166428863335</v>
      </c>
    </row>
    <row r="55" spans="1:13" s="2" customFormat="1" ht="30" x14ac:dyDescent="0.25">
      <c r="A55" s="7"/>
      <c r="B55" s="8">
        <v>25401</v>
      </c>
      <c r="C55" s="32" t="s">
        <v>47</v>
      </c>
      <c r="D55" s="42">
        <v>112604.76</v>
      </c>
      <c r="E55" s="42">
        <v>35000</v>
      </c>
      <c r="F55" s="28">
        <v>0</v>
      </c>
      <c r="G55" s="49">
        <v>0</v>
      </c>
      <c r="H55" s="42">
        <f t="shared" ref="H55" si="28">D55+E55</f>
        <v>147604.76</v>
      </c>
      <c r="I55" s="42">
        <f>217604.76+13607.5</f>
        <v>231212.26</v>
      </c>
      <c r="J55" s="28">
        <f t="shared" si="12"/>
        <v>118607.50000000001</v>
      </c>
      <c r="K55" s="49">
        <f t="shared" si="22"/>
        <v>105.33080484341872</v>
      </c>
      <c r="L55" s="28">
        <f t="shared" si="9"/>
        <v>83607.5</v>
      </c>
      <c r="M55" s="49">
        <f t="shared" si="23"/>
        <v>56.642821003875468</v>
      </c>
    </row>
    <row r="56" spans="1:13" s="2" customFormat="1" ht="30" x14ac:dyDescent="0.25">
      <c r="A56" s="7"/>
      <c r="B56" s="8">
        <v>25501</v>
      </c>
      <c r="C56" s="32" t="s">
        <v>48</v>
      </c>
      <c r="D56" s="42">
        <v>20522.759999999998</v>
      </c>
      <c r="E56" s="42">
        <v>0</v>
      </c>
      <c r="F56" s="28">
        <v>0</v>
      </c>
      <c r="G56" s="49">
        <v>0</v>
      </c>
      <c r="H56" s="42">
        <f t="shared" ref="H56" si="29">D56+E56</f>
        <v>20522.759999999998</v>
      </c>
      <c r="I56" s="42">
        <v>48894.87</v>
      </c>
      <c r="J56" s="28">
        <f t="shared" si="12"/>
        <v>28372.110000000004</v>
      </c>
      <c r="K56" s="49">
        <f t="shared" si="22"/>
        <v>138.24704864258027</v>
      </c>
      <c r="L56" s="28">
        <f t="shared" si="9"/>
        <v>28372.110000000004</v>
      </c>
      <c r="M56" s="49">
        <f t="shared" si="23"/>
        <v>138.24704864258027</v>
      </c>
    </row>
    <row r="57" spans="1:13" s="2" customFormat="1" x14ac:dyDescent="0.25">
      <c r="A57" s="7"/>
      <c r="B57" s="8">
        <v>26101</v>
      </c>
      <c r="C57" s="32" t="s">
        <v>49</v>
      </c>
      <c r="D57" s="42">
        <f>6960595.325-3731747.81+1375421</f>
        <v>4604268.5150000006</v>
      </c>
      <c r="E57" s="42">
        <v>2360000</v>
      </c>
      <c r="F57" s="28">
        <v>0</v>
      </c>
      <c r="G57" s="49">
        <v>0</v>
      </c>
      <c r="H57" s="42">
        <f t="shared" ref="H57:H58" si="30">D57+E57</f>
        <v>6964268.5150000006</v>
      </c>
      <c r="I57" s="42">
        <f>8400000+4234.2</f>
        <v>8404234.1999999993</v>
      </c>
      <c r="J57" s="28">
        <f t="shared" si="12"/>
        <v>3799965.6849999987</v>
      </c>
      <c r="K57" s="49">
        <f t="shared" si="22"/>
        <v>82.531365679918395</v>
      </c>
      <c r="L57" s="28">
        <f t="shared" si="9"/>
        <v>1439965.6849999987</v>
      </c>
      <c r="M57" s="49">
        <f t="shared" si="23"/>
        <v>20.67648141220468</v>
      </c>
    </row>
    <row r="58" spans="1:13" s="2" customFormat="1" x14ac:dyDescent="0.25">
      <c r="A58" s="7"/>
      <c r="B58" s="8">
        <v>26102</v>
      </c>
      <c r="C58" s="32" t="s">
        <v>50</v>
      </c>
      <c r="D58" s="42">
        <v>20522.759999999998</v>
      </c>
      <c r="E58" s="42">
        <v>0</v>
      </c>
      <c r="F58" s="28">
        <v>0</v>
      </c>
      <c r="G58" s="49">
        <v>0</v>
      </c>
      <c r="H58" s="42">
        <f t="shared" si="30"/>
        <v>20522.759999999998</v>
      </c>
      <c r="I58" s="42">
        <v>67400</v>
      </c>
      <c r="J58" s="28">
        <f t="shared" si="12"/>
        <v>46877.240000000005</v>
      </c>
      <c r="K58" s="49">
        <f t="shared" si="22"/>
        <v>228.41586609208508</v>
      </c>
      <c r="L58" s="28">
        <f t="shared" si="9"/>
        <v>46877.240000000005</v>
      </c>
      <c r="M58" s="49">
        <f t="shared" si="23"/>
        <v>228.41586609208508</v>
      </c>
    </row>
    <row r="59" spans="1:13" s="2" customFormat="1" x14ac:dyDescent="0.25">
      <c r="A59" s="7"/>
      <c r="B59" s="8">
        <v>27101</v>
      </c>
      <c r="C59" s="32" t="s">
        <v>51</v>
      </c>
      <c r="D59" s="42">
        <v>234234.6</v>
      </c>
      <c r="E59" s="42">
        <v>0</v>
      </c>
      <c r="F59" s="28">
        <v>0</v>
      </c>
      <c r="G59" s="49">
        <v>0</v>
      </c>
      <c r="H59" s="42">
        <f t="shared" ref="H59:H60" si="31">D59+E59</f>
        <v>234234.6</v>
      </c>
      <c r="I59" s="42">
        <f>342793.84+2450</f>
        <v>345243.84</v>
      </c>
      <c r="J59" s="28">
        <f t="shared" si="12"/>
        <v>111009.24000000002</v>
      </c>
      <c r="K59" s="49">
        <f t="shared" si="22"/>
        <v>47.392332302742631</v>
      </c>
      <c r="L59" s="28">
        <f t="shared" si="9"/>
        <v>111009.24000000002</v>
      </c>
      <c r="M59" s="49">
        <f t="shared" si="23"/>
        <v>47.392332302742631</v>
      </c>
    </row>
    <row r="60" spans="1:13" s="2" customFormat="1" ht="30" x14ac:dyDescent="0.25">
      <c r="A60" s="7"/>
      <c r="B60" s="8">
        <v>27102</v>
      </c>
      <c r="C60" s="35" t="s">
        <v>52</v>
      </c>
      <c r="D60" s="42">
        <v>30513.75</v>
      </c>
      <c r="E60" s="42">
        <v>0</v>
      </c>
      <c r="F60" s="28">
        <v>0</v>
      </c>
      <c r="G60" s="49">
        <v>0</v>
      </c>
      <c r="H60" s="42">
        <f t="shared" si="31"/>
        <v>30513.75</v>
      </c>
      <c r="I60" s="42">
        <v>62513.75</v>
      </c>
      <c r="J60" s="28">
        <f t="shared" si="12"/>
        <v>32000</v>
      </c>
      <c r="K60" s="49">
        <f t="shared" si="22"/>
        <v>104.87075498750562</v>
      </c>
      <c r="L60" s="28">
        <f t="shared" si="9"/>
        <v>32000</v>
      </c>
      <c r="M60" s="49">
        <f t="shared" si="23"/>
        <v>104.87075498750562</v>
      </c>
    </row>
    <row r="61" spans="1:13" s="2" customFormat="1" x14ac:dyDescent="0.25">
      <c r="A61" s="7"/>
      <c r="B61" s="8">
        <v>29101</v>
      </c>
      <c r="C61" s="32" t="s">
        <v>53</v>
      </c>
      <c r="D61" s="42">
        <v>28623.72</v>
      </c>
      <c r="E61" s="42">
        <v>4000</v>
      </c>
      <c r="F61" s="28">
        <v>0</v>
      </c>
      <c r="G61" s="49">
        <v>0</v>
      </c>
      <c r="H61" s="42">
        <f t="shared" ref="H61" si="32">D61+E61</f>
        <v>32623.72</v>
      </c>
      <c r="I61" s="42">
        <f>300290+29812+2796.8</f>
        <v>332898.8</v>
      </c>
      <c r="J61" s="28">
        <f t="shared" si="12"/>
        <v>304275.07999999996</v>
      </c>
      <c r="K61" s="49">
        <f t="shared" si="22"/>
        <v>1063.0172458366696</v>
      </c>
      <c r="L61" s="28">
        <f t="shared" si="9"/>
        <v>300275.07999999996</v>
      </c>
      <c r="M61" s="49">
        <f t="shared" si="23"/>
        <v>920.41949845082036</v>
      </c>
    </row>
    <row r="62" spans="1:13" s="2" customFormat="1" ht="30" x14ac:dyDescent="0.25">
      <c r="A62" s="7"/>
      <c r="B62" s="8">
        <v>29201</v>
      </c>
      <c r="C62" s="32" t="s">
        <v>54</v>
      </c>
      <c r="D62" s="42">
        <v>97116.12</v>
      </c>
      <c r="E62" s="42">
        <v>0</v>
      </c>
      <c r="F62" s="28">
        <v>0</v>
      </c>
      <c r="G62" s="49">
        <v>0</v>
      </c>
      <c r="H62" s="42">
        <f t="shared" si="20"/>
        <v>97116.12</v>
      </c>
      <c r="I62" s="42">
        <v>232892.96</v>
      </c>
      <c r="J62" s="28">
        <f t="shared" si="12"/>
        <v>135776.84</v>
      </c>
      <c r="K62" s="49">
        <f t="shared" si="22"/>
        <v>139.80875677487941</v>
      </c>
      <c r="L62" s="28">
        <f t="shared" si="9"/>
        <v>135776.84</v>
      </c>
      <c r="M62" s="49">
        <f t="shared" si="23"/>
        <v>139.80875677487941</v>
      </c>
    </row>
    <row r="63" spans="1:13" s="2" customFormat="1" ht="30" x14ac:dyDescent="0.25">
      <c r="A63" s="7"/>
      <c r="B63" s="8">
        <v>29301</v>
      </c>
      <c r="C63" s="32" t="s">
        <v>55</v>
      </c>
      <c r="D63" s="42">
        <v>10222.799999999999</v>
      </c>
      <c r="E63" s="42">
        <v>0</v>
      </c>
      <c r="F63" s="28">
        <v>0</v>
      </c>
      <c r="G63" s="49">
        <v>0</v>
      </c>
      <c r="H63" s="42">
        <f t="shared" si="20"/>
        <v>10222.799999999999</v>
      </c>
      <c r="I63" s="42">
        <v>54500</v>
      </c>
      <c r="J63" s="28">
        <f t="shared" si="12"/>
        <v>44277.2</v>
      </c>
      <c r="K63" s="49">
        <f t="shared" si="22"/>
        <v>433.12204092812146</v>
      </c>
      <c r="L63" s="28">
        <f t="shared" si="9"/>
        <v>44277.2</v>
      </c>
      <c r="M63" s="49">
        <f t="shared" si="23"/>
        <v>433.12204092812146</v>
      </c>
    </row>
    <row r="64" spans="1:13" s="2" customFormat="1" ht="30" x14ac:dyDescent="0.25">
      <c r="A64" s="7"/>
      <c r="B64" s="8">
        <v>29302</v>
      </c>
      <c r="C64" s="32" t="s">
        <v>56</v>
      </c>
      <c r="D64" s="42">
        <v>51113.760000000002</v>
      </c>
      <c r="E64" s="42">
        <v>0</v>
      </c>
      <c r="F64" s="28">
        <v>0</v>
      </c>
      <c r="G64" s="49">
        <v>0</v>
      </c>
      <c r="H64" s="42">
        <f t="shared" si="20"/>
        <v>51113.760000000002</v>
      </c>
      <c r="I64" s="42"/>
      <c r="J64" s="28">
        <f t="shared" si="12"/>
        <v>-51113.760000000002</v>
      </c>
      <c r="K64" s="49">
        <f t="shared" si="22"/>
        <v>-100</v>
      </c>
      <c r="L64" s="28">
        <f t="shared" si="9"/>
        <v>-51113.760000000002</v>
      </c>
      <c r="M64" s="49">
        <f t="shared" si="23"/>
        <v>-100</v>
      </c>
    </row>
    <row r="65" spans="1:13" s="2" customFormat="1" ht="45" x14ac:dyDescent="0.25">
      <c r="A65" s="7"/>
      <c r="B65" s="8">
        <v>29401</v>
      </c>
      <c r="C65" s="32" t="s">
        <v>57</v>
      </c>
      <c r="D65" s="42">
        <v>471750.3</v>
      </c>
      <c r="E65" s="42">
        <v>0</v>
      </c>
      <c r="F65" s="28">
        <v>0</v>
      </c>
      <c r="G65" s="49">
        <v>0</v>
      </c>
      <c r="H65" s="42">
        <f t="shared" si="20"/>
        <v>471750.3</v>
      </c>
      <c r="I65" s="42">
        <v>989000</v>
      </c>
      <c r="J65" s="28">
        <f t="shared" si="12"/>
        <v>517249.7</v>
      </c>
      <c r="K65" s="49">
        <f t="shared" si="22"/>
        <v>109.64480573727246</v>
      </c>
      <c r="L65" s="28">
        <f t="shared" si="9"/>
        <v>517249.7</v>
      </c>
      <c r="M65" s="49">
        <f t="shared" si="23"/>
        <v>109.64480573727246</v>
      </c>
    </row>
    <row r="66" spans="1:13" s="2" customFormat="1" ht="30" x14ac:dyDescent="0.25">
      <c r="A66" s="7"/>
      <c r="B66" s="8">
        <v>29601</v>
      </c>
      <c r="C66" s="32" t="s">
        <v>58</v>
      </c>
      <c r="D66" s="42">
        <v>158838.84</v>
      </c>
      <c r="E66" s="42">
        <v>0</v>
      </c>
      <c r="F66" s="28">
        <v>0</v>
      </c>
      <c r="G66" s="49">
        <v>0</v>
      </c>
      <c r="H66" s="42">
        <f t="shared" si="20"/>
        <v>158838.84</v>
      </c>
      <c r="I66" s="42">
        <v>961200</v>
      </c>
      <c r="J66" s="28">
        <f t="shared" si="12"/>
        <v>802361.16</v>
      </c>
      <c r="K66" s="49">
        <f t="shared" si="22"/>
        <v>505.1416643435573</v>
      </c>
      <c r="L66" s="28">
        <f t="shared" si="9"/>
        <v>802361.16</v>
      </c>
      <c r="M66" s="49">
        <f t="shared" si="23"/>
        <v>505.1416643435573</v>
      </c>
    </row>
    <row r="67" spans="1:13" s="2" customFormat="1" ht="45" x14ac:dyDescent="0.25">
      <c r="A67" s="7"/>
      <c r="B67" s="8">
        <v>29804</v>
      </c>
      <c r="C67" s="32" t="s">
        <v>59</v>
      </c>
      <c r="D67" s="42">
        <v>152568.72</v>
      </c>
      <c r="E67" s="42">
        <v>0</v>
      </c>
      <c r="F67" s="28">
        <v>0</v>
      </c>
      <c r="G67" s="49">
        <v>0</v>
      </c>
      <c r="H67" s="42">
        <f t="shared" si="20"/>
        <v>152568.72</v>
      </c>
      <c r="I67" s="42">
        <v>1237510</v>
      </c>
      <c r="J67" s="28">
        <f t="shared" si="12"/>
        <v>1084941.28</v>
      </c>
      <c r="K67" s="49">
        <f t="shared" si="22"/>
        <v>711.11645952066715</v>
      </c>
      <c r="L67" s="28">
        <f t="shared" si="9"/>
        <v>1084941.28</v>
      </c>
      <c r="M67" s="49">
        <f t="shared" si="23"/>
        <v>711.11645952066715</v>
      </c>
    </row>
    <row r="68" spans="1:13" s="2" customFormat="1" ht="45" x14ac:dyDescent="0.25">
      <c r="A68" s="7"/>
      <c r="B68" s="8">
        <v>29805</v>
      </c>
      <c r="C68" s="32" t="s">
        <v>60</v>
      </c>
      <c r="D68" s="42">
        <v>233332.08</v>
      </c>
      <c r="E68" s="42">
        <v>0</v>
      </c>
      <c r="F68" s="28">
        <v>0</v>
      </c>
      <c r="G68" s="49">
        <v>0</v>
      </c>
      <c r="H68" s="42">
        <f t="shared" si="20"/>
        <v>233332.08</v>
      </c>
      <c r="I68" s="42">
        <v>52000</v>
      </c>
      <c r="J68" s="28">
        <f t="shared" si="12"/>
        <v>-181332.08</v>
      </c>
      <c r="K68" s="49">
        <f t="shared" si="22"/>
        <v>-77.714166007520276</v>
      </c>
      <c r="L68" s="28">
        <f t="shared" si="9"/>
        <v>-181332.08</v>
      </c>
      <c r="M68" s="49">
        <f t="shared" si="23"/>
        <v>-77.714166007520276</v>
      </c>
    </row>
    <row r="69" spans="1:13" s="2" customFormat="1" x14ac:dyDescent="0.25">
      <c r="A69" s="7"/>
      <c r="B69" s="8"/>
      <c r="C69" s="32"/>
      <c r="D69" s="42"/>
      <c r="E69" s="42"/>
      <c r="F69" s="28"/>
      <c r="G69" s="49"/>
      <c r="H69" s="42"/>
      <c r="I69" s="42"/>
      <c r="J69" s="28"/>
      <c r="K69" s="49"/>
      <c r="L69" s="28"/>
      <c r="M69" s="49"/>
    </row>
    <row r="70" spans="1:13" s="2" customFormat="1" x14ac:dyDescent="0.25">
      <c r="A70" s="5">
        <v>30000</v>
      </c>
      <c r="B70" s="6" t="s">
        <v>61</v>
      </c>
      <c r="C70" s="33"/>
      <c r="D70" s="41">
        <f t="shared" ref="D70:J70" si="33">SUM(D71:D114)</f>
        <v>28249911.130000003</v>
      </c>
      <c r="E70" s="41">
        <f t="shared" si="33"/>
        <v>19161511.990000002</v>
      </c>
      <c r="F70" s="27">
        <f t="shared" si="33"/>
        <v>0</v>
      </c>
      <c r="G70" s="48">
        <f t="shared" si="33"/>
        <v>0</v>
      </c>
      <c r="H70" s="41">
        <f t="shared" si="33"/>
        <v>47411423.119999997</v>
      </c>
      <c r="I70" s="41">
        <f t="shared" si="33"/>
        <v>64051986.690000005</v>
      </c>
      <c r="J70" s="27">
        <f t="shared" si="33"/>
        <v>35802075.559999995</v>
      </c>
      <c r="K70" s="48">
        <f t="shared" ref="K70:K81" si="34">(I70*100/D70)-100</f>
        <v>126.73340951497713</v>
      </c>
      <c r="L70" s="27">
        <f t="shared" ref="L70:L114" si="35">I70-H70</f>
        <v>16640563.570000008</v>
      </c>
      <c r="M70" s="48">
        <f t="shared" ref="M70:M81" si="36">(I70*100/H70)-100</f>
        <v>35.098215735651195</v>
      </c>
    </row>
    <row r="71" spans="1:13" s="2" customFormat="1" x14ac:dyDescent="0.25">
      <c r="A71" s="7"/>
      <c r="B71" s="8">
        <v>31101</v>
      </c>
      <c r="C71" s="32" t="s">
        <v>62</v>
      </c>
      <c r="D71" s="42">
        <f>13950127-8448903.68</f>
        <v>5501223.3200000003</v>
      </c>
      <c r="E71" s="42">
        <v>7000000</v>
      </c>
      <c r="F71" s="28">
        <v>0</v>
      </c>
      <c r="G71" s="49">
        <v>0</v>
      </c>
      <c r="H71" s="42">
        <f t="shared" si="20"/>
        <v>12501223.32</v>
      </c>
      <c r="I71" s="42">
        <v>15259815</v>
      </c>
      <c r="J71" s="28">
        <f t="shared" ref="J71:J114" si="37">I71-D71</f>
        <v>9758591.6799999997</v>
      </c>
      <c r="K71" s="49">
        <f t="shared" si="34"/>
        <v>177.38948434472934</v>
      </c>
      <c r="L71" s="28">
        <f t="shared" si="35"/>
        <v>2758591.6799999997</v>
      </c>
      <c r="M71" s="49">
        <f t="shared" si="36"/>
        <v>22.066573881507139</v>
      </c>
    </row>
    <row r="72" spans="1:13" s="2" customFormat="1" x14ac:dyDescent="0.25">
      <c r="A72" s="7"/>
      <c r="B72" s="8">
        <v>31301</v>
      </c>
      <c r="C72" s="32" t="s">
        <v>63</v>
      </c>
      <c r="D72" s="42">
        <f>1779575-1002316.6</f>
        <v>777258.4</v>
      </c>
      <c r="E72" s="42">
        <v>1800000</v>
      </c>
      <c r="F72" s="28">
        <v>0</v>
      </c>
      <c r="G72" s="49">
        <v>0</v>
      </c>
      <c r="H72" s="42">
        <f t="shared" si="20"/>
        <v>2577258.4</v>
      </c>
      <c r="I72" s="42">
        <v>2680348</v>
      </c>
      <c r="J72" s="28">
        <f t="shared" si="37"/>
        <v>1903089.6</v>
      </c>
      <c r="K72" s="49">
        <f t="shared" si="34"/>
        <v>244.84645003514919</v>
      </c>
      <c r="L72" s="28">
        <f t="shared" si="35"/>
        <v>103089.60000000009</v>
      </c>
      <c r="M72" s="49">
        <f t="shared" si="36"/>
        <v>3.9999714425220247</v>
      </c>
    </row>
    <row r="73" spans="1:13" s="2" customFormat="1" x14ac:dyDescent="0.25">
      <c r="A73" s="7"/>
      <c r="B73" s="8">
        <v>31401</v>
      </c>
      <c r="C73" s="32" t="s">
        <v>64</v>
      </c>
      <c r="D73" s="42">
        <f>923747.26-593215.77</f>
        <v>330531.49</v>
      </c>
      <c r="E73" s="42">
        <v>700000</v>
      </c>
      <c r="F73" s="28">
        <v>0</v>
      </c>
      <c r="G73" s="49">
        <v>0</v>
      </c>
      <c r="H73" s="42">
        <f t="shared" ref="H73:H104" si="38">D73+E73</f>
        <v>1030531.49</v>
      </c>
      <c r="I73" s="42">
        <v>1061447</v>
      </c>
      <c r="J73" s="28">
        <f t="shared" si="37"/>
        <v>730915.51</v>
      </c>
      <c r="K73" s="49">
        <f t="shared" si="34"/>
        <v>221.13339639742043</v>
      </c>
      <c r="L73" s="28">
        <f t="shared" si="35"/>
        <v>30915.510000000009</v>
      </c>
      <c r="M73" s="49">
        <f t="shared" si="36"/>
        <v>2.999957817882887</v>
      </c>
    </row>
    <row r="74" spans="1:13" s="2" customFormat="1" x14ac:dyDescent="0.25">
      <c r="A74" s="7"/>
      <c r="B74" s="8">
        <v>31501</v>
      </c>
      <c r="C74" s="32" t="s">
        <v>65</v>
      </c>
      <c r="D74" s="42">
        <v>494756</v>
      </c>
      <c r="E74" s="42">
        <v>67500</v>
      </c>
      <c r="F74" s="28">
        <v>0</v>
      </c>
      <c r="G74" s="49">
        <v>0</v>
      </c>
      <c r="H74" s="42">
        <f t="shared" si="38"/>
        <v>562256</v>
      </c>
      <c r="I74" s="42">
        <v>448800</v>
      </c>
      <c r="J74" s="28">
        <f t="shared" si="37"/>
        <v>-45956</v>
      </c>
      <c r="K74" s="49">
        <f t="shared" si="34"/>
        <v>-9.2886190364543353</v>
      </c>
      <c r="L74" s="28">
        <f t="shared" si="35"/>
        <v>-113456</v>
      </c>
      <c r="M74" s="49">
        <f t="shared" si="36"/>
        <v>-20.178708630943916</v>
      </c>
    </row>
    <row r="75" spans="1:13" s="2" customFormat="1" ht="30" x14ac:dyDescent="0.25">
      <c r="A75" s="7"/>
      <c r="B75" s="8">
        <v>31701</v>
      </c>
      <c r="C75" s="32" t="s">
        <v>66</v>
      </c>
      <c r="D75" s="42">
        <v>2557552.2000000002</v>
      </c>
      <c r="E75" s="42">
        <v>0</v>
      </c>
      <c r="F75" s="28">
        <v>0</v>
      </c>
      <c r="G75" s="49">
        <v>0</v>
      </c>
      <c r="H75" s="42">
        <f t="shared" si="38"/>
        <v>2557552.2000000002</v>
      </c>
      <c r="I75" s="42">
        <v>2813307</v>
      </c>
      <c r="J75" s="28">
        <f t="shared" si="37"/>
        <v>255754.79999999981</v>
      </c>
      <c r="K75" s="49">
        <f t="shared" si="34"/>
        <v>9.9999835780477895</v>
      </c>
      <c r="L75" s="28">
        <f t="shared" si="35"/>
        <v>255754.79999999981</v>
      </c>
      <c r="M75" s="49">
        <f t="shared" si="36"/>
        <v>9.9999835780477895</v>
      </c>
    </row>
    <row r="76" spans="1:13" s="2" customFormat="1" x14ac:dyDescent="0.25">
      <c r="A76" s="7"/>
      <c r="B76" s="8">
        <v>31801</v>
      </c>
      <c r="C76" s="32" t="s">
        <v>67</v>
      </c>
      <c r="D76" s="42">
        <v>1436335</v>
      </c>
      <c r="E76" s="42">
        <v>0</v>
      </c>
      <c r="F76" s="28">
        <v>0</v>
      </c>
      <c r="G76" s="49">
        <v>0</v>
      </c>
      <c r="H76" s="42">
        <f t="shared" si="38"/>
        <v>1436335</v>
      </c>
      <c r="I76" s="42">
        <f>1060000+239400</f>
        <v>1299400</v>
      </c>
      <c r="J76" s="28">
        <f t="shared" si="37"/>
        <v>-136935</v>
      </c>
      <c r="K76" s="49">
        <f t="shared" si="34"/>
        <v>-9.5336394364824315</v>
      </c>
      <c r="L76" s="28">
        <f t="shared" si="35"/>
        <v>-136935</v>
      </c>
      <c r="M76" s="49">
        <f t="shared" si="36"/>
        <v>-9.5336394364824315</v>
      </c>
    </row>
    <row r="77" spans="1:13" s="2" customFormat="1" x14ac:dyDescent="0.25">
      <c r="A77" s="7"/>
      <c r="B77" s="8">
        <v>32201</v>
      </c>
      <c r="C77" s="32" t="s">
        <v>68</v>
      </c>
      <c r="D77" s="42">
        <f>3436451-1795795.1</f>
        <v>1640655.9</v>
      </c>
      <c r="E77" s="42">
        <v>1785000</v>
      </c>
      <c r="F77" s="28">
        <v>0</v>
      </c>
      <c r="G77" s="49">
        <v>0</v>
      </c>
      <c r="H77" s="42">
        <f t="shared" si="38"/>
        <v>3425655.9</v>
      </c>
      <c r="I77" s="42">
        <f>3704477.77-414865.15</f>
        <v>3289612.62</v>
      </c>
      <c r="J77" s="28">
        <f t="shared" si="37"/>
        <v>1648956.7200000002</v>
      </c>
      <c r="K77" s="49">
        <f t="shared" si="34"/>
        <v>100.50594521374043</v>
      </c>
      <c r="L77" s="28">
        <f t="shared" si="35"/>
        <v>-136043.2799999998</v>
      </c>
      <c r="M77" s="49">
        <f t="shared" si="36"/>
        <v>-3.9713060497407184</v>
      </c>
    </row>
    <row r="78" spans="1:13" s="2" customFormat="1" ht="45" x14ac:dyDescent="0.25">
      <c r="A78" s="7"/>
      <c r="B78" s="8">
        <v>32301</v>
      </c>
      <c r="C78" s="32" t="s">
        <v>69</v>
      </c>
      <c r="D78" s="42">
        <f>5706931-4127393.98</f>
        <v>1579537.02</v>
      </c>
      <c r="E78" s="42">
        <v>3440764.99</v>
      </c>
      <c r="F78" s="28">
        <v>0</v>
      </c>
      <c r="G78" s="49">
        <v>0</v>
      </c>
      <c r="H78" s="42">
        <f t="shared" si="38"/>
        <v>5020302.01</v>
      </c>
      <c r="I78" s="42">
        <f>5050000+120000-3250000</f>
        <v>1920000</v>
      </c>
      <c r="J78" s="28">
        <f t="shared" si="37"/>
        <v>340462.98</v>
      </c>
      <c r="K78" s="49">
        <f t="shared" si="34"/>
        <v>21.554605918638103</v>
      </c>
      <c r="L78" s="28">
        <f t="shared" si="35"/>
        <v>-3100302.01</v>
      </c>
      <c r="M78" s="49">
        <f t="shared" si="36"/>
        <v>-61.755288901434035</v>
      </c>
    </row>
    <row r="79" spans="1:13" x14ac:dyDescent="0.25">
      <c r="A79" s="7"/>
      <c r="B79" s="8">
        <v>32701</v>
      </c>
      <c r="C79" s="32" t="s">
        <v>70</v>
      </c>
      <c r="D79" s="42">
        <v>1466154.24</v>
      </c>
      <c r="E79" s="42">
        <v>0</v>
      </c>
      <c r="F79" s="28">
        <v>0</v>
      </c>
      <c r="G79" s="49">
        <v>0</v>
      </c>
      <c r="H79" s="42">
        <f t="shared" si="38"/>
        <v>1466154.24</v>
      </c>
      <c r="I79" s="42">
        <v>1601300</v>
      </c>
      <c r="J79" s="28">
        <f t="shared" si="37"/>
        <v>135145.76</v>
      </c>
      <c r="K79" s="49">
        <f t="shared" si="34"/>
        <v>9.2177041345936459</v>
      </c>
      <c r="L79" s="28">
        <f t="shared" si="35"/>
        <v>135145.76</v>
      </c>
      <c r="M79" s="49">
        <f t="shared" si="36"/>
        <v>9.2177041345936459</v>
      </c>
    </row>
    <row r="80" spans="1:13" x14ac:dyDescent="0.25">
      <c r="A80" s="7"/>
      <c r="B80" s="8">
        <v>32901</v>
      </c>
      <c r="C80" s="32" t="s">
        <v>71</v>
      </c>
      <c r="D80" s="42">
        <v>148229.88</v>
      </c>
      <c r="E80" s="42">
        <v>0</v>
      </c>
      <c r="F80" s="28">
        <v>0</v>
      </c>
      <c r="G80" s="49">
        <v>0</v>
      </c>
      <c r="H80" s="42">
        <f t="shared" si="38"/>
        <v>148229.88</v>
      </c>
      <c r="I80" s="42">
        <v>150000</v>
      </c>
      <c r="J80" s="28">
        <f t="shared" si="37"/>
        <v>1770.1199999999953</v>
      </c>
      <c r="K80" s="49">
        <f t="shared" si="34"/>
        <v>1.1941721871460658</v>
      </c>
      <c r="L80" s="28">
        <f t="shared" si="35"/>
        <v>1770.1199999999953</v>
      </c>
      <c r="M80" s="49">
        <f t="shared" si="36"/>
        <v>1.1941721871460658</v>
      </c>
    </row>
    <row r="81" spans="1:13" ht="30" x14ac:dyDescent="0.25">
      <c r="A81" s="7"/>
      <c r="B81" s="8">
        <v>33101</v>
      </c>
      <c r="C81" s="32" t="s">
        <v>72</v>
      </c>
      <c r="D81" s="42">
        <v>35895.5</v>
      </c>
      <c r="E81" s="42">
        <v>0</v>
      </c>
      <c r="F81" s="28">
        <v>0</v>
      </c>
      <c r="G81" s="49">
        <v>0</v>
      </c>
      <c r="H81" s="42">
        <f t="shared" si="38"/>
        <v>35895.5</v>
      </c>
      <c r="I81" s="42">
        <v>0</v>
      </c>
      <c r="J81" s="28">
        <f t="shared" si="37"/>
        <v>-35895.5</v>
      </c>
      <c r="K81" s="49">
        <f t="shared" si="34"/>
        <v>-100</v>
      </c>
      <c r="L81" s="28">
        <f t="shared" si="35"/>
        <v>-35895.5</v>
      </c>
      <c r="M81" s="49">
        <f t="shared" si="36"/>
        <v>-100</v>
      </c>
    </row>
    <row r="82" spans="1:13" ht="30" x14ac:dyDescent="0.25">
      <c r="A82" s="7"/>
      <c r="B82" s="8">
        <v>33201</v>
      </c>
      <c r="C82" s="32" t="s">
        <v>73</v>
      </c>
      <c r="D82" s="42"/>
      <c r="E82" s="42">
        <v>0</v>
      </c>
      <c r="F82" s="28">
        <v>0</v>
      </c>
      <c r="G82" s="49">
        <v>0</v>
      </c>
      <c r="H82" s="42">
        <f t="shared" si="38"/>
        <v>0</v>
      </c>
      <c r="I82" s="42">
        <v>15000</v>
      </c>
      <c r="J82" s="28">
        <f t="shared" si="37"/>
        <v>15000</v>
      </c>
      <c r="K82" s="49">
        <v>100</v>
      </c>
      <c r="L82" s="28">
        <f t="shared" si="35"/>
        <v>15000</v>
      </c>
      <c r="M82" s="49">
        <v>100</v>
      </c>
    </row>
    <row r="83" spans="1:13" x14ac:dyDescent="0.25">
      <c r="A83" s="7"/>
      <c r="B83" s="8">
        <v>33401</v>
      </c>
      <c r="C83" s="32" t="s">
        <v>74</v>
      </c>
      <c r="D83" s="42"/>
      <c r="E83" s="42">
        <v>0</v>
      </c>
      <c r="F83" s="28">
        <v>0</v>
      </c>
      <c r="G83" s="49">
        <v>0</v>
      </c>
      <c r="H83" s="42">
        <f t="shared" si="38"/>
        <v>0</v>
      </c>
      <c r="I83" s="42">
        <v>109500</v>
      </c>
      <c r="J83" s="28">
        <f t="shared" si="37"/>
        <v>109500</v>
      </c>
      <c r="K83" s="49">
        <v>100</v>
      </c>
      <c r="L83" s="28">
        <f t="shared" si="35"/>
        <v>109500</v>
      </c>
      <c r="M83" s="49">
        <v>100</v>
      </c>
    </row>
    <row r="84" spans="1:13" ht="30" x14ac:dyDescent="0.25">
      <c r="A84" s="7"/>
      <c r="B84" s="8">
        <v>33601</v>
      </c>
      <c r="C84" s="32" t="s">
        <v>75</v>
      </c>
      <c r="D84" s="42">
        <v>13289.64</v>
      </c>
      <c r="E84" s="42">
        <v>0</v>
      </c>
      <c r="F84" s="28">
        <v>0</v>
      </c>
      <c r="G84" s="49">
        <v>0</v>
      </c>
      <c r="H84" s="42">
        <f t="shared" si="38"/>
        <v>13289.64</v>
      </c>
      <c r="I84" s="42">
        <v>15000</v>
      </c>
      <c r="J84" s="28">
        <f t="shared" si="37"/>
        <v>1710.3600000000006</v>
      </c>
      <c r="K84" s="49">
        <f t="shared" ref="K84:K109" si="39">(I84*100/D84)-100</f>
        <v>12.869874578995379</v>
      </c>
      <c r="L84" s="28">
        <f t="shared" si="35"/>
        <v>1710.3600000000006</v>
      </c>
      <c r="M84" s="49">
        <f t="shared" ref="M84:M109" si="40">(I84*100/H84)-100</f>
        <v>12.869874578995379</v>
      </c>
    </row>
    <row r="85" spans="1:13" x14ac:dyDescent="0.25">
      <c r="A85" s="7"/>
      <c r="B85" s="8">
        <v>33602</v>
      </c>
      <c r="C85" s="32" t="s">
        <v>76</v>
      </c>
      <c r="D85" s="42">
        <v>27601.43</v>
      </c>
      <c r="E85" s="42">
        <v>0</v>
      </c>
      <c r="F85" s="28">
        <v>0</v>
      </c>
      <c r="G85" s="49">
        <v>0</v>
      </c>
      <c r="H85" s="42">
        <f t="shared" si="38"/>
        <v>27601.43</v>
      </c>
      <c r="I85" s="42">
        <v>48000</v>
      </c>
      <c r="J85" s="28">
        <f t="shared" si="37"/>
        <v>20398.57</v>
      </c>
      <c r="K85" s="49">
        <f t="shared" si="39"/>
        <v>73.904033233060744</v>
      </c>
      <c r="L85" s="28">
        <f t="shared" si="35"/>
        <v>20398.57</v>
      </c>
      <c r="M85" s="49">
        <f t="shared" si="40"/>
        <v>73.904033233060744</v>
      </c>
    </row>
    <row r="86" spans="1:13" x14ac:dyDescent="0.25">
      <c r="A86" s="7"/>
      <c r="B86" s="8">
        <v>33604</v>
      </c>
      <c r="C86" s="32" t="s">
        <v>77</v>
      </c>
      <c r="D86" s="42">
        <v>526471.68000000005</v>
      </c>
      <c r="E86" s="42">
        <v>0</v>
      </c>
      <c r="F86" s="28">
        <v>0</v>
      </c>
      <c r="G86" s="49">
        <v>0</v>
      </c>
      <c r="H86" s="42">
        <f t="shared" si="38"/>
        <v>526471.68000000005</v>
      </c>
      <c r="I86" s="42">
        <v>630000</v>
      </c>
      <c r="J86" s="28">
        <f t="shared" si="37"/>
        <v>103528.31999999995</v>
      </c>
      <c r="K86" s="49">
        <f t="shared" si="39"/>
        <v>19.664556315735723</v>
      </c>
      <c r="L86" s="28">
        <f t="shared" si="35"/>
        <v>103528.31999999995</v>
      </c>
      <c r="M86" s="49">
        <f t="shared" si="40"/>
        <v>19.664556315735723</v>
      </c>
    </row>
    <row r="87" spans="1:13" x14ac:dyDescent="0.25">
      <c r="A87" s="7"/>
      <c r="B87" s="8">
        <v>33801</v>
      </c>
      <c r="C87" s="32" t="s">
        <v>78</v>
      </c>
      <c r="D87" s="42">
        <f>6432905-4206394.82</f>
        <v>2226510.1799999997</v>
      </c>
      <c r="E87" s="42">
        <v>3560279</v>
      </c>
      <c r="F87" s="28">
        <v>0</v>
      </c>
      <c r="G87" s="49">
        <v>0</v>
      </c>
      <c r="H87" s="42">
        <f t="shared" si="38"/>
        <v>5786789.1799999997</v>
      </c>
      <c r="I87" s="42">
        <f>11154800-2566200</f>
        <v>8588600</v>
      </c>
      <c r="J87" s="28">
        <f t="shared" si="37"/>
        <v>6362089.8200000003</v>
      </c>
      <c r="K87" s="49">
        <f t="shared" si="39"/>
        <v>285.74267825714594</v>
      </c>
      <c r="L87" s="28">
        <f t="shared" si="35"/>
        <v>2801810.8200000003</v>
      </c>
      <c r="M87" s="49">
        <f t="shared" si="40"/>
        <v>48.41736467060997</v>
      </c>
    </row>
    <row r="88" spans="1:13" ht="30" x14ac:dyDescent="0.25">
      <c r="A88" s="7"/>
      <c r="B88" s="8">
        <v>34101</v>
      </c>
      <c r="C88" s="32" t="s">
        <v>79</v>
      </c>
      <c r="D88" s="42">
        <v>10222.799999999999</v>
      </c>
      <c r="E88" s="42">
        <v>0</v>
      </c>
      <c r="F88" s="28">
        <v>0</v>
      </c>
      <c r="G88" s="49">
        <v>0</v>
      </c>
      <c r="H88" s="42">
        <f t="shared" si="38"/>
        <v>10222.799999999999</v>
      </c>
      <c r="I88" s="42">
        <v>60000</v>
      </c>
      <c r="J88" s="28">
        <f t="shared" si="37"/>
        <v>49777.2</v>
      </c>
      <c r="K88" s="49">
        <f t="shared" si="39"/>
        <v>486.92334781077591</v>
      </c>
      <c r="L88" s="28">
        <f t="shared" si="35"/>
        <v>49777.2</v>
      </c>
      <c r="M88" s="49">
        <f t="shared" si="40"/>
        <v>486.92334781077591</v>
      </c>
    </row>
    <row r="89" spans="1:13" ht="30" x14ac:dyDescent="0.25">
      <c r="A89" s="7"/>
      <c r="B89" s="11">
        <v>34102</v>
      </c>
      <c r="C89" s="35" t="s">
        <v>80</v>
      </c>
      <c r="D89" s="42">
        <v>26664.14</v>
      </c>
      <c r="E89" s="42">
        <v>0</v>
      </c>
      <c r="F89" s="28">
        <v>0</v>
      </c>
      <c r="G89" s="49">
        <v>0</v>
      </c>
      <c r="H89" s="42">
        <f t="shared" si="38"/>
        <v>26664.14</v>
      </c>
      <c r="I89" s="42">
        <v>30000</v>
      </c>
      <c r="J89" s="28">
        <f t="shared" si="37"/>
        <v>3335.8600000000006</v>
      </c>
      <c r="K89" s="49">
        <f t="shared" si="39"/>
        <v>12.510660385071489</v>
      </c>
      <c r="L89" s="28">
        <f t="shared" si="35"/>
        <v>3335.8600000000006</v>
      </c>
      <c r="M89" s="49">
        <f t="shared" si="40"/>
        <v>12.510660385071489</v>
      </c>
    </row>
    <row r="90" spans="1:13" ht="30" x14ac:dyDescent="0.25">
      <c r="A90" s="7"/>
      <c r="B90" s="8">
        <v>34401</v>
      </c>
      <c r="C90" s="32" t="s">
        <v>81</v>
      </c>
      <c r="D90" s="42">
        <v>12267.3</v>
      </c>
      <c r="E90" s="42">
        <v>0</v>
      </c>
      <c r="F90" s="28">
        <v>0</v>
      </c>
      <c r="G90" s="49">
        <v>0</v>
      </c>
      <c r="H90" s="42">
        <f t="shared" si="38"/>
        <v>12267.3</v>
      </c>
      <c r="I90" s="42">
        <v>14000</v>
      </c>
      <c r="J90" s="28">
        <f t="shared" si="37"/>
        <v>1732.7000000000007</v>
      </c>
      <c r="K90" s="49">
        <f t="shared" si="39"/>
        <v>14.124542482860946</v>
      </c>
      <c r="L90" s="28">
        <f t="shared" si="35"/>
        <v>1732.7000000000007</v>
      </c>
      <c r="M90" s="49">
        <f t="shared" si="40"/>
        <v>14.124542482860946</v>
      </c>
    </row>
    <row r="91" spans="1:13" x14ac:dyDescent="0.25">
      <c r="A91" s="7"/>
      <c r="B91" s="8">
        <v>34501</v>
      </c>
      <c r="C91" s="32" t="s">
        <v>82</v>
      </c>
      <c r="D91" s="42">
        <v>664478.76</v>
      </c>
      <c r="E91" s="42">
        <v>0</v>
      </c>
      <c r="F91" s="28">
        <v>0</v>
      </c>
      <c r="G91" s="49">
        <v>0</v>
      </c>
      <c r="H91" s="42">
        <f t="shared" si="38"/>
        <v>664478.76</v>
      </c>
      <c r="I91" s="42">
        <v>606086.37</v>
      </c>
      <c r="J91" s="28">
        <f t="shared" si="37"/>
        <v>-58392.390000000014</v>
      </c>
      <c r="K91" s="49">
        <f t="shared" si="39"/>
        <v>-8.7876984961866924</v>
      </c>
      <c r="L91" s="28">
        <f t="shared" si="35"/>
        <v>-58392.390000000014</v>
      </c>
      <c r="M91" s="49">
        <f t="shared" si="40"/>
        <v>-8.7876984961866924</v>
      </c>
    </row>
    <row r="92" spans="1:13" ht="30" x14ac:dyDescent="0.25">
      <c r="A92" s="7"/>
      <c r="B92" s="8">
        <v>35101</v>
      </c>
      <c r="C92" s="32" t="s">
        <v>83</v>
      </c>
      <c r="D92" s="42">
        <v>1496761.5</v>
      </c>
      <c r="E92" s="42">
        <f>602000+31968</f>
        <v>633968</v>
      </c>
      <c r="F92" s="28">
        <v>0</v>
      </c>
      <c r="G92" s="49">
        <v>0</v>
      </c>
      <c r="H92" s="42">
        <f t="shared" si="38"/>
        <v>2130729.5</v>
      </c>
      <c r="I92" s="42">
        <f>2495437.02+1125000</f>
        <v>3620437.02</v>
      </c>
      <c r="J92" s="28">
        <f t="shared" si="37"/>
        <v>2123675.52</v>
      </c>
      <c r="K92" s="49">
        <f t="shared" si="39"/>
        <v>141.88469706095461</v>
      </c>
      <c r="L92" s="28">
        <f t="shared" si="35"/>
        <v>1489707.52</v>
      </c>
      <c r="M92" s="49">
        <f t="shared" si="40"/>
        <v>69.915374992461494</v>
      </c>
    </row>
    <row r="93" spans="1:13" ht="45" x14ac:dyDescent="0.25">
      <c r="A93" s="7"/>
      <c r="B93" s="8">
        <v>35201</v>
      </c>
      <c r="C93" s="32" t="s">
        <v>84</v>
      </c>
      <c r="D93" s="42">
        <v>76670.64</v>
      </c>
      <c r="E93" s="42">
        <v>0</v>
      </c>
      <c r="F93" s="28">
        <v>0</v>
      </c>
      <c r="G93" s="49">
        <v>0</v>
      </c>
      <c r="H93" s="42">
        <f t="shared" si="38"/>
        <v>76670.64</v>
      </c>
      <c r="I93" s="42">
        <v>207500</v>
      </c>
      <c r="J93" s="28">
        <f t="shared" si="37"/>
        <v>130829.36</v>
      </c>
      <c r="K93" s="49">
        <f t="shared" si="39"/>
        <v>170.63814779686203</v>
      </c>
      <c r="L93" s="28">
        <f t="shared" si="35"/>
        <v>130829.36</v>
      </c>
      <c r="M93" s="49">
        <f t="shared" si="40"/>
        <v>170.63814779686203</v>
      </c>
    </row>
    <row r="94" spans="1:13" ht="45" x14ac:dyDescent="0.25">
      <c r="A94" s="7"/>
      <c r="B94" s="8">
        <v>35301</v>
      </c>
      <c r="C94" s="32" t="s">
        <v>85</v>
      </c>
      <c r="D94" s="42">
        <v>941033.76</v>
      </c>
      <c r="E94" s="42">
        <v>0</v>
      </c>
      <c r="F94" s="28">
        <v>0</v>
      </c>
      <c r="G94" s="49">
        <v>0</v>
      </c>
      <c r="H94" s="42">
        <f t="shared" si="38"/>
        <v>941033.76</v>
      </c>
      <c r="I94" s="42">
        <v>1902930</v>
      </c>
      <c r="J94" s="28">
        <f t="shared" si="37"/>
        <v>961896.24</v>
      </c>
      <c r="K94" s="49">
        <f t="shared" si="39"/>
        <v>102.21697465986767</v>
      </c>
      <c r="L94" s="28">
        <f t="shared" si="35"/>
        <v>961896.24</v>
      </c>
      <c r="M94" s="49">
        <f t="shared" si="40"/>
        <v>102.21697465986767</v>
      </c>
    </row>
    <row r="95" spans="1:13" ht="45" x14ac:dyDescent="0.25">
      <c r="A95" s="7"/>
      <c r="B95" s="8">
        <v>35401</v>
      </c>
      <c r="C95" s="32" t="s">
        <v>86</v>
      </c>
      <c r="D95" s="42">
        <v>71559.240000000005</v>
      </c>
      <c r="E95" s="42">
        <v>0</v>
      </c>
      <c r="F95" s="28">
        <v>0</v>
      </c>
      <c r="G95" s="49">
        <v>0</v>
      </c>
      <c r="H95" s="42">
        <f t="shared" si="38"/>
        <v>71559.240000000005</v>
      </c>
      <c r="I95" s="42">
        <f>500000+1587812.42</f>
        <v>2087812.42</v>
      </c>
      <c r="J95" s="28">
        <f t="shared" si="37"/>
        <v>2016253.18</v>
      </c>
      <c r="K95" s="49">
        <f t="shared" si="39"/>
        <v>2817.6000471776947</v>
      </c>
      <c r="L95" s="28">
        <f t="shared" si="35"/>
        <v>2016253.18</v>
      </c>
      <c r="M95" s="49">
        <f t="shared" si="40"/>
        <v>2817.6000471776947</v>
      </c>
    </row>
    <row r="96" spans="1:13" ht="30" x14ac:dyDescent="0.25">
      <c r="A96" s="7"/>
      <c r="B96" s="8">
        <v>35501</v>
      </c>
      <c r="C96" s="32" t="s">
        <v>87</v>
      </c>
      <c r="D96" s="42">
        <v>339399</v>
      </c>
      <c r="E96" s="42">
        <v>0</v>
      </c>
      <c r="F96" s="28">
        <v>0</v>
      </c>
      <c r="G96" s="49">
        <v>0</v>
      </c>
      <c r="H96" s="42">
        <f t="shared" si="38"/>
        <v>339399</v>
      </c>
      <c r="I96" s="42">
        <f>1000000+1221802</f>
        <v>2221802</v>
      </c>
      <c r="J96" s="28">
        <f t="shared" si="37"/>
        <v>1882403</v>
      </c>
      <c r="K96" s="49">
        <f t="shared" si="39"/>
        <v>554.62832830974753</v>
      </c>
      <c r="L96" s="28">
        <f t="shared" si="35"/>
        <v>1882403</v>
      </c>
      <c r="M96" s="49">
        <f t="shared" si="40"/>
        <v>554.62832830974753</v>
      </c>
    </row>
    <row r="97" spans="1:13" ht="45" x14ac:dyDescent="0.25">
      <c r="A97" s="7"/>
      <c r="B97" s="8">
        <v>35704</v>
      </c>
      <c r="C97" s="32" t="s">
        <v>88</v>
      </c>
      <c r="D97" s="42">
        <v>1303807.99</v>
      </c>
      <c r="E97" s="42">
        <v>0</v>
      </c>
      <c r="F97" s="28">
        <v>0</v>
      </c>
      <c r="G97" s="49">
        <v>0</v>
      </c>
      <c r="H97" s="42">
        <f t="shared" si="38"/>
        <v>1303807.99</v>
      </c>
      <c r="I97" s="42">
        <f>5000000+850000</f>
        <v>5850000</v>
      </c>
      <c r="J97" s="28">
        <f t="shared" si="37"/>
        <v>4546192.01</v>
      </c>
      <c r="K97" s="49">
        <f t="shared" si="39"/>
        <v>348.6856994947546</v>
      </c>
      <c r="L97" s="28">
        <f t="shared" si="35"/>
        <v>4546192.01</v>
      </c>
      <c r="M97" s="49">
        <f t="shared" si="40"/>
        <v>348.6856994947546</v>
      </c>
    </row>
    <row r="98" spans="1:13" ht="45" x14ac:dyDescent="0.25">
      <c r="A98" s="7"/>
      <c r="B98" s="8">
        <v>35705</v>
      </c>
      <c r="C98" s="32" t="s">
        <v>89</v>
      </c>
      <c r="D98" s="42">
        <v>64888.97</v>
      </c>
      <c r="E98" s="42">
        <v>0</v>
      </c>
      <c r="F98" s="28">
        <v>0</v>
      </c>
      <c r="G98" s="49">
        <v>0</v>
      </c>
      <c r="H98" s="42">
        <f t="shared" si="38"/>
        <v>64888.97</v>
      </c>
      <c r="I98" s="42">
        <v>98000</v>
      </c>
      <c r="J98" s="28">
        <f t="shared" si="37"/>
        <v>33111.03</v>
      </c>
      <c r="K98" s="49">
        <f t="shared" si="39"/>
        <v>51.027208476263382</v>
      </c>
      <c r="L98" s="28">
        <f t="shared" si="35"/>
        <v>33111.03</v>
      </c>
      <c r="M98" s="49">
        <f t="shared" si="40"/>
        <v>51.027208476263382</v>
      </c>
    </row>
    <row r="99" spans="1:13" ht="45" x14ac:dyDescent="0.25">
      <c r="A99" s="7"/>
      <c r="B99" s="8">
        <v>35706</v>
      </c>
      <c r="C99" s="32" t="s">
        <v>90</v>
      </c>
      <c r="D99" s="42">
        <v>793149</v>
      </c>
      <c r="E99" s="42">
        <v>0</v>
      </c>
      <c r="F99" s="28">
        <v>0</v>
      </c>
      <c r="G99" s="49">
        <v>0</v>
      </c>
      <c r="H99" s="42">
        <f t="shared" si="38"/>
        <v>793149</v>
      </c>
      <c r="I99" s="42">
        <f>1932500.78+481504.92</f>
        <v>2414005.7000000002</v>
      </c>
      <c r="J99" s="28">
        <f t="shared" si="37"/>
        <v>1620856.7000000002</v>
      </c>
      <c r="K99" s="49">
        <f t="shared" si="39"/>
        <v>204.35715105232435</v>
      </c>
      <c r="L99" s="28">
        <f t="shared" si="35"/>
        <v>1620856.7000000002</v>
      </c>
      <c r="M99" s="49">
        <f t="shared" si="40"/>
        <v>204.35715105232435</v>
      </c>
    </row>
    <row r="100" spans="1:13" ht="30" x14ac:dyDescent="0.25">
      <c r="A100" s="7"/>
      <c r="B100" s="8">
        <v>35708</v>
      </c>
      <c r="C100" s="32" t="s">
        <v>91</v>
      </c>
      <c r="D100" s="42">
        <v>81782.039999999994</v>
      </c>
      <c r="E100" s="42">
        <v>0</v>
      </c>
      <c r="F100" s="28">
        <v>0</v>
      </c>
      <c r="G100" s="49">
        <v>0</v>
      </c>
      <c r="H100" s="42">
        <f t="shared" si="38"/>
        <v>81782.039999999994</v>
      </c>
      <c r="I100" s="42">
        <v>421850</v>
      </c>
      <c r="J100" s="28">
        <f t="shared" si="37"/>
        <v>340067.96</v>
      </c>
      <c r="K100" s="49">
        <f t="shared" si="39"/>
        <v>415.82230034858515</v>
      </c>
      <c r="L100" s="28">
        <f t="shared" si="35"/>
        <v>340067.96</v>
      </c>
      <c r="M100" s="49">
        <f t="shared" si="40"/>
        <v>415.82230034858515</v>
      </c>
    </row>
    <row r="101" spans="1:13" x14ac:dyDescent="0.25">
      <c r="A101" s="7"/>
      <c r="B101" s="8">
        <v>35801</v>
      </c>
      <c r="C101" s="32" t="s">
        <v>92</v>
      </c>
      <c r="D101" s="42">
        <v>743850.6</v>
      </c>
      <c r="E101" s="42">
        <v>0</v>
      </c>
      <c r="F101" s="28">
        <v>0</v>
      </c>
      <c r="G101" s="49">
        <v>0</v>
      </c>
      <c r="H101" s="42">
        <f t="shared" si="38"/>
        <v>743850.6</v>
      </c>
      <c r="I101" s="42">
        <v>526732.80000000005</v>
      </c>
      <c r="J101" s="28">
        <f t="shared" si="37"/>
        <v>-217117.79999999993</v>
      </c>
      <c r="K101" s="49">
        <f t="shared" si="39"/>
        <v>-29.188361211243219</v>
      </c>
      <c r="L101" s="28">
        <f t="shared" si="35"/>
        <v>-217117.79999999993</v>
      </c>
      <c r="M101" s="49">
        <f t="shared" si="40"/>
        <v>-29.188361211243219</v>
      </c>
    </row>
    <row r="102" spans="1:13" ht="30" x14ac:dyDescent="0.25">
      <c r="A102" s="7"/>
      <c r="B102" s="8">
        <v>35804</v>
      </c>
      <c r="C102" s="32" t="s">
        <v>93</v>
      </c>
      <c r="D102" s="42">
        <v>1020920.77</v>
      </c>
      <c r="E102" s="42">
        <v>174000</v>
      </c>
      <c r="F102" s="28">
        <v>0</v>
      </c>
      <c r="G102" s="49">
        <v>0</v>
      </c>
      <c r="H102" s="42">
        <f t="shared" si="38"/>
        <v>1194920.77</v>
      </c>
      <c r="I102" s="42">
        <f>1663412.64</f>
        <v>1663412.64</v>
      </c>
      <c r="J102" s="28">
        <f t="shared" si="37"/>
        <v>642491.86999999988</v>
      </c>
      <c r="K102" s="49">
        <f t="shared" si="39"/>
        <v>62.932588784534175</v>
      </c>
      <c r="L102" s="28">
        <f t="shared" si="35"/>
        <v>468491.86999999988</v>
      </c>
      <c r="M102" s="49">
        <f t="shared" si="40"/>
        <v>39.206940055113449</v>
      </c>
    </row>
    <row r="103" spans="1:13" x14ac:dyDescent="0.25">
      <c r="A103" s="7"/>
      <c r="B103" s="8">
        <v>35901</v>
      </c>
      <c r="C103" s="32" t="s">
        <v>94</v>
      </c>
      <c r="D103" s="42">
        <v>63821.4</v>
      </c>
      <c r="E103" s="42">
        <v>0</v>
      </c>
      <c r="F103" s="28">
        <v>0</v>
      </c>
      <c r="G103" s="49">
        <v>0</v>
      </c>
      <c r="H103" s="42">
        <f t="shared" si="38"/>
        <v>63821.4</v>
      </c>
      <c r="I103" s="42">
        <v>499080</v>
      </c>
      <c r="J103" s="28">
        <f t="shared" si="37"/>
        <v>435258.6</v>
      </c>
      <c r="K103" s="49">
        <f t="shared" si="39"/>
        <v>681.99475411069011</v>
      </c>
      <c r="L103" s="28">
        <f t="shared" si="35"/>
        <v>435258.6</v>
      </c>
      <c r="M103" s="49">
        <f t="shared" si="40"/>
        <v>681.99475411069011</v>
      </c>
    </row>
    <row r="104" spans="1:13" x14ac:dyDescent="0.25">
      <c r="A104" s="7"/>
      <c r="B104" s="8">
        <v>35902</v>
      </c>
      <c r="C104" s="32" t="s">
        <v>95</v>
      </c>
      <c r="D104" s="42">
        <v>322996.32</v>
      </c>
      <c r="E104" s="42">
        <v>0</v>
      </c>
      <c r="F104" s="28">
        <v>0</v>
      </c>
      <c r="G104" s="49">
        <v>0</v>
      </c>
      <c r="H104" s="42">
        <f t="shared" si="38"/>
        <v>322996.32</v>
      </c>
      <c r="I104" s="42">
        <v>323100</v>
      </c>
      <c r="J104" s="28">
        <f t="shared" si="37"/>
        <v>103.67999999999302</v>
      </c>
      <c r="K104" s="49">
        <f t="shared" si="39"/>
        <v>3.2099436922379709E-2</v>
      </c>
      <c r="L104" s="28">
        <f t="shared" si="35"/>
        <v>103.67999999999302</v>
      </c>
      <c r="M104" s="49">
        <f t="shared" si="40"/>
        <v>3.2099436922379709E-2</v>
      </c>
    </row>
    <row r="105" spans="1:13" x14ac:dyDescent="0.25">
      <c r="A105" s="7"/>
      <c r="B105" s="8">
        <v>36101</v>
      </c>
      <c r="C105" s="32" t="s">
        <v>96</v>
      </c>
      <c r="D105" s="42">
        <v>112768.52</v>
      </c>
      <c r="E105" s="42">
        <v>0</v>
      </c>
      <c r="F105" s="28">
        <v>0</v>
      </c>
      <c r="G105" s="49">
        <v>0</v>
      </c>
      <c r="H105" s="42">
        <f t="shared" ref="H105:H114" si="41">D105+E105</f>
        <v>112768.52</v>
      </c>
      <c r="I105" s="42">
        <v>124000</v>
      </c>
      <c r="J105" s="28">
        <f t="shared" si="37"/>
        <v>11231.479999999996</v>
      </c>
      <c r="K105" s="49">
        <f t="shared" si="39"/>
        <v>9.959765367143234</v>
      </c>
      <c r="L105" s="28">
        <f t="shared" si="35"/>
        <v>11231.479999999996</v>
      </c>
      <c r="M105" s="49">
        <f t="shared" si="40"/>
        <v>9.959765367143234</v>
      </c>
    </row>
    <row r="106" spans="1:13" x14ac:dyDescent="0.25">
      <c r="A106" s="7"/>
      <c r="B106" s="8">
        <v>37101</v>
      </c>
      <c r="C106" s="32" t="s">
        <v>97</v>
      </c>
      <c r="D106" s="42">
        <v>164143</v>
      </c>
      <c r="E106" s="42">
        <v>0</v>
      </c>
      <c r="F106" s="28">
        <v>0</v>
      </c>
      <c r="G106" s="49">
        <v>0</v>
      </c>
      <c r="H106" s="42">
        <f t="shared" si="41"/>
        <v>164143</v>
      </c>
      <c r="I106" s="42">
        <v>172350.15</v>
      </c>
      <c r="J106" s="28">
        <f t="shared" si="37"/>
        <v>8207.1499999999942</v>
      </c>
      <c r="K106" s="49">
        <f t="shared" si="39"/>
        <v>5</v>
      </c>
      <c r="L106" s="28">
        <f t="shared" si="35"/>
        <v>8207.1499999999942</v>
      </c>
      <c r="M106" s="49">
        <f t="shared" si="40"/>
        <v>5</v>
      </c>
    </row>
    <row r="107" spans="1:13" x14ac:dyDescent="0.25">
      <c r="A107" s="7"/>
      <c r="B107" s="8">
        <v>37201</v>
      </c>
      <c r="C107" s="32" t="s">
        <v>98</v>
      </c>
      <c r="D107" s="42">
        <v>2333</v>
      </c>
      <c r="E107" s="42">
        <v>0</v>
      </c>
      <c r="F107" s="28">
        <v>0</v>
      </c>
      <c r="G107" s="49">
        <v>0</v>
      </c>
      <c r="H107" s="42">
        <f t="shared" si="41"/>
        <v>2333</v>
      </c>
      <c r="I107" s="42">
        <v>2449.65</v>
      </c>
      <c r="J107" s="28">
        <f t="shared" si="37"/>
        <v>116.65000000000009</v>
      </c>
      <c r="K107" s="49">
        <f t="shared" si="39"/>
        <v>5</v>
      </c>
      <c r="L107" s="28">
        <f t="shared" si="35"/>
        <v>116.65000000000009</v>
      </c>
      <c r="M107" s="49">
        <f t="shared" si="40"/>
        <v>5</v>
      </c>
    </row>
    <row r="108" spans="1:13" x14ac:dyDescent="0.25">
      <c r="A108" s="7"/>
      <c r="B108" s="8">
        <v>37501</v>
      </c>
      <c r="C108" s="32" t="s">
        <v>99</v>
      </c>
      <c r="D108" s="42">
        <v>438144.49</v>
      </c>
      <c r="E108" s="42">
        <v>0</v>
      </c>
      <c r="F108" s="28">
        <v>0</v>
      </c>
      <c r="G108" s="49">
        <v>0</v>
      </c>
      <c r="H108" s="42">
        <f t="shared" si="41"/>
        <v>438144.49</v>
      </c>
      <c r="I108" s="42">
        <v>480000</v>
      </c>
      <c r="J108" s="28">
        <f t="shared" si="37"/>
        <v>41855.510000000009</v>
      </c>
      <c r="K108" s="49">
        <f t="shared" si="39"/>
        <v>9.5529011445516545</v>
      </c>
      <c r="L108" s="28">
        <f t="shared" si="35"/>
        <v>41855.510000000009</v>
      </c>
      <c r="M108" s="49">
        <f t="shared" si="40"/>
        <v>9.5529011445516545</v>
      </c>
    </row>
    <row r="109" spans="1:13" x14ac:dyDescent="0.25">
      <c r="A109" s="7"/>
      <c r="B109" s="8">
        <v>37502</v>
      </c>
      <c r="C109" s="32" t="s">
        <v>100</v>
      </c>
      <c r="D109" s="42">
        <v>155154</v>
      </c>
      <c r="E109" s="42">
        <v>0</v>
      </c>
      <c r="F109" s="28">
        <v>0</v>
      </c>
      <c r="G109" s="49">
        <v>0</v>
      </c>
      <c r="H109" s="42">
        <f t="shared" si="41"/>
        <v>155154</v>
      </c>
      <c r="I109" s="42">
        <v>162911.70000000001</v>
      </c>
      <c r="J109" s="28">
        <f t="shared" si="37"/>
        <v>7757.7000000000116</v>
      </c>
      <c r="K109" s="49">
        <f t="shared" si="39"/>
        <v>5.0000000000000142</v>
      </c>
      <c r="L109" s="28">
        <f t="shared" si="35"/>
        <v>7757.7000000000116</v>
      </c>
      <c r="M109" s="49">
        <f t="shared" si="40"/>
        <v>5.0000000000000142</v>
      </c>
    </row>
    <row r="110" spans="1:13" x14ac:dyDescent="0.25">
      <c r="A110" s="7"/>
      <c r="B110" s="8">
        <v>37601</v>
      </c>
      <c r="C110" s="32" t="s">
        <v>101</v>
      </c>
      <c r="D110" s="42"/>
      <c r="E110" s="42">
        <v>0</v>
      </c>
      <c r="F110" s="28">
        <v>0</v>
      </c>
      <c r="G110" s="49">
        <v>0</v>
      </c>
      <c r="H110" s="42">
        <f t="shared" si="41"/>
        <v>0</v>
      </c>
      <c r="I110" s="42">
        <v>10000</v>
      </c>
      <c r="J110" s="28">
        <f t="shared" si="37"/>
        <v>10000</v>
      </c>
      <c r="K110" s="49">
        <v>100</v>
      </c>
      <c r="L110" s="28">
        <f t="shared" si="35"/>
        <v>10000</v>
      </c>
      <c r="M110" s="49">
        <v>100</v>
      </c>
    </row>
    <row r="111" spans="1:13" x14ac:dyDescent="0.25">
      <c r="A111" s="7"/>
      <c r="B111" s="11">
        <v>37602</v>
      </c>
      <c r="C111" s="35" t="s">
        <v>102</v>
      </c>
      <c r="D111" s="42"/>
      <c r="E111" s="42">
        <v>0</v>
      </c>
      <c r="F111" s="28">
        <v>0</v>
      </c>
      <c r="G111" s="49">
        <v>0</v>
      </c>
      <c r="H111" s="42">
        <f t="shared" si="41"/>
        <v>0</v>
      </c>
      <c r="I111" s="42">
        <v>10000</v>
      </c>
      <c r="J111" s="28">
        <f t="shared" si="37"/>
        <v>10000</v>
      </c>
      <c r="K111" s="49">
        <v>100</v>
      </c>
      <c r="L111" s="28">
        <f t="shared" si="35"/>
        <v>10000</v>
      </c>
      <c r="M111" s="49">
        <v>100</v>
      </c>
    </row>
    <row r="112" spans="1:13" x14ac:dyDescent="0.25">
      <c r="A112" s="7"/>
      <c r="B112" s="8">
        <v>37902</v>
      </c>
      <c r="C112" s="32" t="s">
        <v>103</v>
      </c>
      <c r="D112" s="42">
        <v>101513.71</v>
      </c>
      <c r="E112" s="42">
        <v>0</v>
      </c>
      <c r="F112" s="28">
        <v>0</v>
      </c>
      <c r="G112" s="49">
        <v>0</v>
      </c>
      <c r="H112" s="42">
        <f t="shared" si="41"/>
        <v>101513.71</v>
      </c>
      <c r="I112" s="42">
        <v>69839.399999999994</v>
      </c>
      <c r="J112" s="28">
        <f t="shared" si="37"/>
        <v>-31674.310000000012</v>
      </c>
      <c r="K112" s="49">
        <f>(I112*100/D112)-100</f>
        <v>-31.202002172908479</v>
      </c>
      <c r="L112" s="28">
        <f t="shared" si="35"/>
        <v>-31674.310000000012</v>
      </c>
      <c r="M112" s="49">
        <f>(I112*100/H112)-100</f>
        <v>-31.202002172908479</v>
      </c>
    </row>
    <row r="113" spans="1:13" x14ac:dyDescent="0.25">
      <c r="A113" s="7"/>
      <c r="B113" s="8">
        <v>38501</v>
      </c>
      <c r="C113" s="32" t="s">
        <v>104</v>
      </c>
      <c r="D113" s="42">
        <v>479578.3</v>
      </c>
      <c r="E113" s="42">
        <v>0</v>
      </c>
      <c r="F113" s="28">
        <v>0</v>
      </c>
      <c r="G113" s="49">
        <v>0</v>
      </c>
      <c r="H113" s="42">
        <f t="shared" si="41"/>
        <v>479578.3</v>
      </c>
      <c r="I113" s="42">
        <v>503557.22</v>
      </c>
      <c r="J113" s="28">
        <f t="shared" si="37"/>
        <v>23978.919999999984</v>
      </c>
      <c r="K113" s="49">
        <f>(I113*100/D113)-100</f>
        <v>5.0000010425826247</v>
      </c>
      <c r="L113" s="28">
        <f t="shared" si="35"/>
        <v>23978.919999999984</v>
      </c>
      <c r="M113" s="49">
        <f>(I113*100/H113)-100</f>
        <v>5.0000010425826247</v>
      </c>
    </row>
    <row r="114" spans="1:13" x14ac:dyDescent="0.25">
      <c r="A114" s="7"/>
      <c r="B114" s="8">
        <v>39601</v>
      </c>
      <c r="C114" s="32" t="s">
        <v>105</v>
      </c>
      <c r="D114" s="42"/>
      <c r="E114" s="42">
        <v>0</v>
      </c>
      <c r="F114" s="28">
        <v>0</v>
      </c>
      <c r="G114" s="49">
        <v>0</v>
      </c>
      <c r="H114" s="42">
        <f t="shared" si="41"/>
        <v>0</v>
      </c>
      <c r="I114" s="42">
        <v>40000</v>
      </c>
      <c r="J114" s="28">
        <f t="shared" si="37"/>
        <v>40000</v>
      </c>
      <c r="K114" s="49">
        <v>100</v>
      </c>
      <c r="L114" s="28">
        <f t="shared" si="35"/>
        <v>40000</v>
      </c>
      <c r="M114" s="49">
        <v>100</v>
      </c>
    </row>
    <row r="115" spans="1:13" x14ac:dyDescent="0.25">
      <c r="A115" s="7"/>
      <c r="B115" s="8"/>
      <c r="C115" s="32"/>
      <c r="D115" s="41"/>
      <c r="E115" s="41"/>
      <c r="F115" s="27"/>
      <c r="G115" s="48"/>
      <c r="H115" s="41"/>
      <c r="I115" s="41"/>
      <c r="J115" s="27"/>
      <c r="K115" s="48"/>
      <c r="L115" s="27"/>
      <c r="M115" s="48"/>
    </row>
    <row r="116" spans="1:13" x14ac:dyDescent="0.25">
      <c r="A116" s="5">
        <v>40000</v>
      </c>
      <c r="B116" s="6" t="s">
        <v>106</v>
      </c>
      <c r="C116" s="33"/>
      <c r="D116" s="41">
        <f>SUM(D117:D117)</f>
        <v>46000</v>
      </c>
      <c r="E116" s="41">
        <v>4000</v>
      </c>
      <c r="F116" s="27">
        <v>0</v>
      </c>
      <c r="G116" s="48">
        <v>0</v>
      </c>
      <c r="H116" s="41">
        <f>SUM(H117:H117)</f>
        <v>50000</v>
      </c>
      <c r="I116" s="41">
        <v>55000</v>
      </c>
      <c r="J116" s="27">
        <f>I116-D116</f>
        <v>9000</v>
      </c>
      <c r="K116" s="48">
        <f>(I116*100/D116)-100</f>
        <v>19.565217391304344</v>
      </c>
      <c r="L116" s="27">
        <f>I116-H116</f>
        <v>5000</v>
      </c>
      <c r="M116" s="48">
        <f>(I116*100/H116)-100</f>
        <v>10</v>
      </c>
    </row>
    <row r="117" spans="1:13" x14ac:dyDescent="0.25">
      <c r="A117" s="7"/>
      <c r="B117" s="8">
        <v>44502</v>
      </c>
      <c r="C117" s="32" t="s">
        <v>107</v>
      </c>
      <c r="D117" s="42">
        <v>46000</v>
      </c>
      <c r="E117" s="42">
        <v>4000</v>
      </c>
      <c r="F117" s="28">
        <v>0</v>
      </c>
      <c r="G117" s="49">
        <v>0</v>
      </c>
      <c r="H117" s="42">
        <f>D117+E117</f>
        <v>50000</v>
      </c>
      <c r="I117" s="42">
        <v>55000</v>
      </c>
      <c r="J117" s="28">
        <f>I117-D117</f>
        <v>9000</v>
      </c>
      <c r="K117" s="49">
        <f>(I117*100/D117)-100</f>
        <v>19.565217391304344</v>
      </c>
      <c r="L117" s="28">
        <f>I117-H117</f>
        <v>5000</v>
      </c>
      <c r="M117" s="49">
        <f>(I117*100/H117)-100</f>
        <v>10</v>
      </c>
    </row>
    <row r="118" spans="1:13" x14ac:dyDescent="0.25">
      <c r="A118" s="7"/>
      <c r="B118" s="8"/>
      <c r="C118" s="32"/>
      <c r="D118" s="42"/>
      <c r="E118" s="42"/>
      <c r="F118" s="28"/>
      <c r="G118" s="49"/>
      <c r="H118" s="42"/>
      <c r="I118" s="42"/>
      <c r="J118" s="28"/>
      <c r="K118" s="49"/>
      <c r="L118" s="28"/>
      <c r="M118" s="49"/>
    </row>
    <row r="119" spans="1:13" x14ac:dyDescent="0.25">
      <c r="A119" s="5">
        <v>50000</v>
      </c>
      <c r="B119" s="6" t="s">
        <v>108</v>
      </c>
      <c r="C119" s="33"/>
      <c r="D119" s="41">
        <f>SUM(D120:D128)</f>
        <v>343630.39</v>
      </c>
      <c r="E119" s="41">
        <v>461800</v>
      </c>
      <c r="F119" s="27">
        <v>0</v>
      </c>
      <c r="G119" s="48">
        <v>0</v>
      </c>
      <c r="H119" s="41">
        <f>SUM(H120:H128)</f>
        <v>805430.39</v>
      </c>
      <c r="I119" s="41">
        <v>10936275.460000001</v>
      </c>
      <c r="J119" s="27">
        <f t="shared" ref="J119:J128" si="42">I119-D119</f>
        <v>10592645.07</v>
      </c>
      <c r="K119" s="48">
        <f>(I119*100/D119)-100</f>
        <v>3082.569347257092</v>
      </c>
      <c r="L119" s="27">
        <f t="shared" ref="L119:L128" si="43">I119-H119</f>
        <v>10130845.07</v>
      </c>
      <c r="M119" s="48">
        <f t="shared" ref="M119:M125" si="44">(I119*100/H119)-100</f>
        <v>1257.8175837144661</v>
      </c>
    </row>
    <row r="120" spans="1:13" x14ac:dyDescent="0.25">
      <c r="A120" s="7"/>
      <c r="B120" s="8">
        <v>51101</v>
      </c>
      <c r="C120" s="32" t="s">
        <v>109</v>
      </c>
      <c r="D120" s="42">
        <v>51092</v>
      </c>
      <c r="E120" s="42">
        <v>0</v>
      </c>
      <c r="F120" s="28">
        <v>0</v>
      </c>
      <c r="G120" s="49">
        <v>0</v>
      </c>
      <c r="H120" s="42">
        <f t="shared" ref="H120:H128" si="45">D120+E120</f>
        <v>51092</v>
      </c>
      <c r="I120" s="42">
        <v>0</v>
      </c>
      <c r="J120" s="28">
        <f t="shared" si="42"/>
        <v>-51092</v>
      </c>
      <c r="K120" s="49">
        <f>(I120*100/D120)-100</f>
        <v>-100</v>
      </c>
      <c r="L120" s="28">
        <f t="shared" si="43"/>
        <v>-51092</v>
      </c>
      <c r="M120" s="49">
        <f t="shared" si="44"/>
        <v>-100</v>
      </c>
    </row>
    <row r="121" spans="1:13" ht="30" x14ac:dyDescent="0.25">
      <c r="A121" s="7"/>
      <c r="B121" s="8">
        <v>51501</v>
      </c>
      <c r="C121" s="32" t="s">
        <v>110</v>
      </c>
      <c r="D121" s="42"/>
      <c r="E121" s="42">
        <v>220000</v>
      </c>
      <c r="F121" s="28">
        <v>0</v>
      </c>
      <c r="G121" s="49">
        <v>0</v>
      </c>
      <c r="H121" s="42">
        <f t="shared" si="45"/>
        <v>220000</v>
      </c>
      <c r="I121" s="42">
        <f>9000+676904.51</f>
        <v>685904.51</v>
      </c>
      <c r="J121" s="28">
        <f t="shared" si="42"/>
        <v>685904.51</v>
      </c>
      <c r="K121" s="49">
        <v>100</v>
      </c>
      <c r="L121" s="28">
        <f t="shared" si="43"/>
        <v>465904.51</v>
      </c>
      <c r="M121" s="49">
        <f t="shared" si="44"/>
        <v>211.77477727272725</v>
      </c>
    </row>
    <row r="122" spans="1:13" ht="30" x14ac:dyDescent="0.25">
      <c r="A122" s="7"/>
      <c r="B122" s="10">
        <v>51901</v>
      </c>
      <c r="C122" s="35" t="s">
        <v>111</v>
      </c>
      <c r="D122" s="42">
        <v>20600</v>
      </c>
      <c r="E122" s="42">
        <v>0</v>
      </c>
      <c r="F122" s="28">
        <v>0</v>
      </c>
      <c r="G122" s="49">
        <v>0</v>
      </c>
      <c r="H122" s="42">
        <f t="shared" si="45"/>
        <v>20600</v>
      </c>
      <c r="I122" s="42">
        <v>0</v>
      </c>
      <c r="J122" s="28">
        <f t="shared" si="42"/>
        <v>-20600</v>
      </c>
      <c r="K122" s="49">
        <f>(I122*100/D122)-100</f>
        <v>-100</v>
      </c>
      <c r="L122" s="28">
        <f t="shared" si="43"/>
        <v>-20600</v>
      </c>
      <c r="M122" s="49">
        <f t="shared" si="44"/>
        <v>-100</v>
      </c>
    </row>
    <row r="123" spans="1:13" x14ac:dyDescent="0.25">
      <c r="A123" s="7"/>
      <c r="B123" s="10">
        <v>52101</v>
      </c>
      <c r="C123" s="35" t="s">
        <v>112</v>
      </c>
      <c r="D123" s="42">
        <v>2575</v>
      </c>
      <c r="E123" s="42">
        <v>80000</v>
      </c>
      <c r="F123" s="28">
        <v>0</v>
      </c>
      <c r="G123" s="49">
        <v>0</v>
      </c>
      <c r="H123" s="42">
        <f t="shared" si="45"/>
        <v>82575</v>
      </c>
      <c r="I123" s="42">
        <v>42575</v>
      </c>
      <c r="J123" s="28">
        <f t="shared" si="42"/>
        <v>40000</v>
      </c>
      <c r="K123" s="49">
        <f>(I123*100/D123)-100</f>
        <v>1553.3980582524273</v>
      </c>
      <c r="L123" s="28">
        <f t="shared" si="43"/>
        <v>-40000</v>
      </c>
      <c r="M123" s="49">
        <f t="shared" si="44"/>
        <v>-48.440811383590678</v>
      </c>
    </row>
    <row r="124" spans="1:13" x14ac:dyDescent="0.25">
      <c r="A124" s="7"/>
      <c r="B124" s="10">
        <v>52301</v>
      </c>
      <c r="C124" s="35" t="s">
        <v>113</v>
      </c>
      <c r="D124" s="42"/>
      <c r="E124" s="42">
        <v>61800</v>
      </c>
      <c r="F124" s="28">
        <v>0</v>
      </c>
      <c r="G124" s="49">
        <v>0</v>
      </c>
      <c r="H124" s="42">
        <f t="shared" si="45"/>
        <v>61800</v>
      </c>
      <c r="I124" s="42">
        <v>70000</v>
      </c>
      <c r="J124" s="28">
        <f t="shared" si="42"/>
        <v>70000</v>
      </c>
      <c r="K124" s="49">
        <v>100</v>
      </c>
      <c r="L124" s="28">
        <f t="shared" si="43"/>
        <v>8200</v>
      </c>
      <c r="M124" s="49">
        <f t="shared" si="44"/>
        <v>13.26860841423948</v>
      </c>
    </row>
    <row r="125" spans="1:13" x14ac:dyDescent="0.25">
      <c r="A125" s="7"/>
      <c r="B125" s="10">
        <v>53101</v>
      </c>
      <c r="C125" s="36" t="s">
        <v>114</v>
      </c>
      <c r="D125" s="42">
        <v>129363.39</v>
      </c>
      <c r="E125" s="42">
        <v>0</v>
      </c>
      <c r="F125" s="28">
        <v>0</v>
      </c>
      <c r="G125" s="49">
        <v>0</v>
      </c>
      <c r="H125" s="42">
        <f t="shared" si="45"/>
        <v>129363.39</v>
      </c>
      <c r="I125" s="42">
        <v>129636.39</v>
      </c>
      <c r="J125" s="28">
        <f t="shared" si="42"/>
        <v>273</v>
      </c>
      <c r="K125" s="49">
        <f>(I125*100/D125)-100</f>
        <v>0.21103343071018799</v>
      </c>
      <c r="L125" s="28">
        <f t="shared" si="43"/>
        <v>273</v>
      </c>
      <c r="M125" s="49">
        <f t="shared" si="44"/>
        <v>0.21103343071018799</v>
      </c>
    </row>
    <row r="126" spans="1:13" x14ac:dyDescent="0.25">
      <c r="A126" s="7"/>
      <c r="B126" s="10">
        <v>54101</v>
      </c>
      <c r="C126" s="35" t="s">
        <v>115</v>
      </c>
      <c r="D126" s="42"/>
      <c r="E126" s="42">
        <v>0</v>
      </c>
      <c r="F126" s="28">
        <v>0</v>
      </c>
      <c r="G126" s="49">
        <v>0</v>
      </c>
      <c r="H126" s="42">
        <f t="shared" si="45"/>
        <v>0</v>
      </c>
      <c r="I126" s="42">
        <f>1000000+3018331+2603763</f>
        <v>6622094</v>
      </c>
      <c r="J126" s="28">
        <f t="shared" si="42"/>
        <v>6622094</v>
      </c>
      <c r="K126" s="49">
        <v>100</v>
      </c>
      <c r="L126" s="28">
        <f t="shared" si="43"/>
        <v>6622094</v>
      </c>
      <c r="M126" s="49">
        <v>100</v>
      </c>
    </row>
    <row r="127" spans="1:13" ht="30" x14ac:dyDescent="0.25">
      <c r="A127" s="7"/>
      <c r="B127" s="8">
        <v>56401</v>
      </c>
      <c r="C127" s="32" t="s">
        <v>116</v>
      </c>
      <c r="D127" s="42">
        <v>90000</v>
      </c>
      <c r="E127" s="42">
        <v>0</v>
      </c>
      <c r="F127" s="28">
        <v>0</v>
      </c>
      <c r="G127" s="49">
        <v>0</v>
      </c>
      <c r="H127" s="42">
        <f t="shared" si="45"/>
        <v>90000</v>
      </c>
      <c r="I127" s="42">
        <v>3233065.56</v>
      </c>
      <c r="J127" s="28">
        <f t="shared" si="42"/>
        <v>3143065.56</v>
      </c>
      <c r="K127" s="49">
        <f>(I127*100/D127)-100</f>
        <v>3492.2950666666666</v>
      </c>
      <c r="L127" s="28">
        <f t="shared" si="43"/>
        <v>3143065.56</v>
      </c>
      <c r="M127" s="49">
        <f>(I127*100/H127)-100</f>
        <v>3492.2950666666666</v>
      </c>
    </row>
    <row r="128" spans="1:13" ht="30" x14ac:dyDescent="0.25">
      <c r="A128" s="7"/>
      <c r="B128" s="8">
        <v>56501</v>
      </c>
      <c r="C128" s="32" t="s">
        <v>117</v>
      </c>
      <c r="D128" s="42">
        <v>50000</v>
      </c>
      <c r="E128" s="42">
        <v>100000</v>
      </c>
      <c r="F128" s="28">
        <v>0</v>
      </c>
      <c r="G128" s="49">
        <v>0</v>
      </c>
      <c r="H128" s="42">
        <f t="shared" si="45"/>
        <v>150000</v>
      </c>
      <c r="I128" s="42">
        <f>3000+150000</f>
        <v>153000</v>
      </c>
      <c r="J128" s="28">
        <f t="shared" si="42"/>
        <v>103000</v>
      </c>
      <c r="K128" s="49">
        <f>(I128*100/D128)-100</f>
        <v>206</v>
      </c>
      <c r="L128" s="28">
        <f t="shared" si="43"/>
        <v>3000</v>
      </c>
      <c r="M128" s="49">
        <f>(I128*100/H128)-100</f>
        <v>2</v>
      </c>
    </row>
    <row r="129" spans="1:13" x14ac:dyDescent="0.25">
      <c r="A129" s="7"/>
      <c r="B129" s="10"/>
      <c r="C129" s="35"/>
      <c r="D129" s="42"/>
      <c r="E129" s="42"/>
      <c r="F129" s="28"/>
      <c r="G129" s="49"/>
      <c r="H129" s="42"/>
      <c r="I129" s="42"/>
      <c r="J129" s="28"/>
      <c r="K129" s="49"/>
      <c r="L129" s="28"/>
      <c r="M129" s="49"/>
    </row>
    <row r="130" spans="1:13" x14ac:dyDescent="0.25">
      <c r="A130" s="5">
        <v>60000</v>
      </c>
      <c r="B130" s="6" t="s">
        <v>118</v>
      </c>
      <c r="C130" s="33"/>
      <c r="D130" s="41">
        <f>SUM(D131)</f>
        <v>38592.699999999997</v>
      </c>
      <c r="E130" s="41">
        <v>0</v>
      </c>
      <c r="F130" s="27">
        <v>0</v>
      </c>
      <c r="G130" s="48">
        <v>0</v>
      </c>
      <c r="H130" s="41">
        <f t="shared" ref="H130" si="46">SUM(H131)</f>
        <v>38592.699999999997</v>
      </c>
      <c r="I130" s="41">
        <v>36390446.369999997</v>
      </c>
      <c r="J130" s="27">
        <f>I130-D130</f>
        <v>36351853.669999994</v>
      </c>
      <c r="K130" s="48">
        <f>(I130*100/D130)-100</f>
        <v>94193.600525487971</v>
      </c>
      <c r="L130" s="27">
        <f>I130-H130</f>
        <v>36351853.669999994</v>
      </c>
      <c r="M130" s="48">
        <f>(I130*100/H130)-100</f>
        <v>94193.600525487971</v>
      </c>
    </row>
    <row r="131" spans="1:13" ht="30" x14ac:dyDescent="0.25">
      <c r="A131" s="12"/>
      <c r="B131" s="13">
        <v>62901</v>
      </c>
      <c r="C131" s="37" t="s">
        <v>119</v>
      </c>
      <c r="D131" s="42">
        <v>38592.699999999997</v>
      </c>
      <c r="E131" s="42">
        <v>0</v>
      </c>
      <c r="F131" s="28">
        <v>0</v>
      </c>
      <c r="G131" s="49">
        <v>0</v>
      </c>
      <c r="H131" s="42">
        <f t="shared" ref="H131" si="47">D131+E131</f>
        <v>38592.699999999997</v>
      </c>
      <c r="I131" s="42">
        <f>40522.34+27349924+9000000</f>
        <v>36390446.340000004</v>
      </c>
      <c r="J131" s="28">
        <f>I131-D131</f>
        <v>36351853.640000001</v>
      </c>
      <c r="K131" s="49">
        <f>(I131*100/D131)-100</f>
        <v>94193.600447753095</v>
      </c>
      <c r="L131" s="28">
        <f>I131-H131</f>
        <v>36351853.640000001</v>
      </c>
      <c r="M131" s="49">
        <f>(I131*100/H131)-100</f>
        <v>94193.600447753095</v>
      </c>
    </row>
    <row r="132" spans="1:13" x14ac:dyDescent="0.25">
      <c r="A132" s="12"/>
      <c r="B132" s="13"/>
      <c r="C132" s="37"/>
      <c r="D132" s="43"/>
      <c r="E132" s="43"/>
      <c r="F132" s="29"/>
      <c r="G132" s="50"/>
      <c r="H132" s="43"/>
      <c r="I132" s="43"/>
      <c r="J132" s="29"/>
      <c r="K132" s="50"/>
      <c r="L132" s="29"/>
      <c r="M132" s="50"/>
    </row>
    <row r="133" spans="1:13" x14ac:dyDescent="0.25">
      <c r="A133" s="5">
        <v>70000</v>
      </c>
      <c r="B133" s="6" t="s">
        <v>120</v>
      </c>
      <c r="C133" s="33"/>
      <c r="D133" s="41">
        <f>SUM(D134)</f>
        <v>5000000</v>
      </c>
      <c r="E133" s="41">
        <v>0</v>
      </c>
      <c r="F133" s="27">
        <v>0</v>
      </c>
      <c r="G133" s="48">
        <v>0</v>
      </c>
      <c r="H133" s="41">
        <f t="shared" ref="H133" si="48">SUM(H134)</f>
        <v>5000000</v>
      </c>
      <c r="I133" s="41">
        <v>7000000</v>
      </c>
      <c r="J133" s="27">
        <f>I133-D133</f>
        <v>2000000</v>
      </c>
      <c r="K133" s="48">
        <f>(I133*100/D133)-100</f>
        <v>40</v>
      </c>
      <c r="L133" s="27">
        <f>I133-H133</f>
        <v>2000000</v>
      </c>
      <c r="M133" s="48">
        <f>(I133*100/H133)-100</f>
        <v>40</v>
      </c>
    </row>
    <row r="134" spans="1:13" ht="30" x14ac:dyDescent="0.25">
      <c r="A134" s="12"/>
      <c r="B134" s="13">
        <v>75301</v>
      </c>
      <c r="C134" s="37" t="s">
        <v>121</v>
      </c>
      <c r="D134" s="42">
        <v>5000000</v>
      </c>
      <c r="E134" s="42">
        <v>0</v>
      </c>
      <c r="F134" s="28">
        <v>0</v>
      </c>
      <c r="G134" s="49">
        <v>0</v>
      </c>
      <c r="H134" s="42">
        <f t="shared" ref="H134" si="49">D134+E134</f>
        <v>5000000</v>
      </c>
      <c r="I134" s="42">
        <v>7000000</v>
      </c>
      <c r="J134" s="28">
        <f>I134-D134</f>
        <v>2000000</v>
      </c>
      <c r="K134" s="49">
        <f>(I134*100/D134)-100</f>
        <v>40</v>
      </c>
      <c r="L134" s="28">
        <f>I134-H134</f>
        <v>2000000</v>
      </c>
      <c r="M134" s="49">
        <f>(I134*100/H134)-100</f>
        <v>40</v>
      </c>
    </row>
    <row r="135" spans="1:13" ht="15.75" thickBot="1" x14ac:dyDescent="0.3">
      <c r="A135" s="14"/>
      <c r="B135" s="15"/>
      <c r="C135" s="38"/>
      <c r="D135" s="44"/>
      <c r="E135" s="44"/>
      <c r="F135" s="30"/>
      <c r="G135" s="51"/>
      <c r="H135" s="44"/>
      <c r="I135" s="44"/>
      <c r="J135" s="30"/>
      <c r="K135" s="51"/>
      <c r="L135" s="30"/>
      <c r="M135" s="51"/>
    </row>
  </sheetData>
  <mergeCells count="12">
    <mergeCell ref="J3:K3"/>
    <mergeCell ref="L3:M3"/>
    <mergeCell ref="A1:M1"/>
    <mergeCell ref="A2:A4"/>
    <mergeCell ref="B2:C3"/>
    <mergeCell ref="D2:H2"/>
    <mergeCell ref="I2:I4"/>
    <mergeCell ref="J2:M2"/>
    <mergeCell ref="D3:D4"/>
    <mergeCell ref="E3:E4"/>
    <mergeCell ref="F3:G3"/>
    <mergeCell ref="H3:H4"/>
  </mergeCells>
  <pageMargins left="0.51181102362204722" right="0.43307086614173229" top="1.6141732283464567" bottom="0.43307086614173229" header="0.51181102362204722" footer="0.27559055118110237"/>
  <pageSetup scale="68" fitToHeight="0" orientation="landscape" r:id="rId1"/>
  <headerFooter>
    <oddHeader>&amp;L&amp;G&amp;C&amp;"-,Negrita"&amp;14
PODER JUDICIAL DEL ESTADO DE BAJA CALIFORNIA
&amp;"-,Negrita Cursiva"CONSEJO DE LA JUDICATURA&amp;"-,Normal"
Proyecto de Presupuesto 2020&amp;R&amp;G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PRESUPUESTO_VS_PRESUPUESTO</vt:lpstr>
      <vt:lpstr>PRESUPUESTO_VS_PRESUPUESTO!Área_de_impresión</vt:lpstr>
      <vt:lpstr>PRESUPUESTO_VS_PRESUPUESTO!Print_Titles</vt:lpstr>
      <vt:lpstr>PRESUPUESTO_VS_PRESUPUESTO!Títulos_a_imprimir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2019-11-20T19:17:18Z</cp:lastPrinted>
  <dcterms:created xsi:type="dcterms:W3CDTF">2019-11-18T19:49:54Z</dcterms:created>
  <dcterms:modified xsi:type="dcterms:W3CDTF">2019-11-25T23:32:30Z</dcterms:modified>
</cp:coreProperties>
</file>