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55" windowWidth="18675" windowHeight="6030"/>
  </bookViews>
  <sheets>
    <sheet name="COG_PARTIDA_ESPECIFICA" sheetId="1" r:id="rId1"/>
  </sheets>
  <definedNames>
    <definedName name="_xlnm.Print_Area" localSheetId="0">COG_PARTIDA_ESPECIFICA!$A$10:$K$297</definedName>
    <definedName name="Print_Area" localSheetId="0">COG_PARTIDA_ESPECIFICA!#REF!</definedName>
    <definedName name="Print_Titles" localSheetId="0">COG_PARTIDA_ESPECIFICA!$9:$18</definedName>
    <definedName name="_xlnm.Print_Titles" localSheetId="0">COG_PARTIDA_ESPECIFICA!$1:$9</definedName>
  </definedNames>
  <calcPr calcId="145621"/>
</workbook>
</file>

<file path=xl/calcChain.xml><?xml version="1.0" encoding="utf-8"?>
<calcChain xmlns="http://schemas.openxmlformats.org/spreadsheetml/2006/main">
  <c r="F14" i="1" l="1"/>
  <c r="G14" i="1"/>
  <c r="G13" i="1" s="1"/>
  <c r="H15" i="1"/>
  <c r="H14" i="1" s="1"/>
  <c r="I15" i="1"/>
  <c r="I14" i="1" s="1"/>
  <c r="J15" i="1"/>
  <c r="J14" i="1" s="1"/>
  <c r="J13" i="1" s="1"/>
  <c r="F16" i="1"/>
  <c r="F13" i="1" s="1"/>
  <c r="G16" i="1"/>
  <c r="H17" i="1"/>
  <c r="K17" i="1" s="1"/>
  <c r="K16" i="1" s="1"/>
  <c r="I17" i="1"/>
  <c r="I16" i="1" s="1"/>
  <c r="J17" i="1"/>
  <c r="J16" i="1" s="1"/>
  <c r="F19" i="1"/>
  <c r="F18" i="1" s="1"/>
  <c r="G19" i="1"/>
  <c r="H20" i="1"/>
  <c r="K20" i="1" s="1"/>
  <c r="K19" i="1" s="1"/>
  <c r="I20" i="1"/>
  <c r="I19" i="1" s="1"/>
  <c r="I18" i="1" s="1"/>
  <c r="J20" i="1"/>
  <c r="J19" i="1" s="1"/>
  <c r="J18" i="1" s="1"/>
  <c r="F21" i="1"/>
  <c r="G21" i="1"/>
  <c r="G18" i="1" s="1"/>
  <c r="I21" i="1"/>
  <c r="J21" i="1"/>
  <c r="H22" i="1"/>
  <c r="H21" i="1" s="1"/>
  <c r="F24" i="1"/>
  <c r="F23" i="1" s="1"/>
  <c r="G24" i="1"/>
  <c r="H25" i="1"/>
  <c r="K25" i="1" s="1"/>
  <c r="K24" i="1" s="1"/>
  <c r="I25" i="1"/>
  <c r="I24" i="1" s="1"/>
  <c r="J25" i="1"/>
  <c r="J24" i="1" s="1"/>
  <c r="H26" i="1"/>
  <c r="J26" i="1"/>
  <c r="K26" i="1"/>
  <c r="F27" i="1"/>
  <c r="G27" i="1"/>
  <c r="G23" i="1" s="1"/>
  <c r="H28" i="1"/>
  <c r="H27" i="1" s="1"/>
  <c r="I28" i="1"/>
  <c r="I27" i="1" s="1"/>
  <c r="J28" i="1"/>
  <c r="J27" i="1" s="1"/>
  <c r="H29" i="1"/>
  <c r="K29" i="1" s="1"/>
  <c r="J29" i="1"/>
  <c r="F30" i="1"/>
  <c r="G30" i="1"/>
  <c r="H31" i="1"/>
  <c r="H30" i="1" s="1"/>
  <c r="I31" i="1"/>
  <c r="I30" i="1" s="1"/>
  <c r="J31" i="1"/>
  <c r="J30" i="1" s="1"/>
  <c r="F32" i="1"/>
  <c r="G32" i="1"/>
  <c r="H33" i="1"/>
  <c r="K33" i="1" s="1"/>
  <c r="K32" i="1" s="1"/>
  <c r="I33" i="1"/>
  <c r="I32" i="1" s="1"/>
  <c r="J33" i="1"/>
  <c r="J32" i="1" s="1"/>
  <c r="F35" i="1"/>
  <c r="F34" i="1" s="1"/>
  <c r="G35" i="1"/>
  <c r="H36" i="1"/>
  <c r="K36" i="1" s="1"/>
  <c r="K35" i="1" s="1"/>
  <c r="K34" i="1" s="1"/>
  <c r="I36" i="1"/>
  <c r="I35" i="1" s="1"/>
  <c r="I34" i="1" s="1"/>
  <c r="J36" i="1"/>
  <c r="J35" i="1" s="1"/>
  <c r="H37" i="1"/>
  <c r="J37" i="1"/>
  <c r="K37" i="1"/>
  <c r="F38" i="1"/>
  <c r="G38" i="1"/>
  <c r="G34" i="1" s="1"/>
  <c r="I38" i="1"/>
  <c r="H39" i="1"/>
  <c r="H38" i="1" s="1"/>
  <c r="K39" i="1"/>
  <c r="K38" i="1" s="1"/>
  <c r="H40" i="1"/>
  <c r="K40" i="1"/>
  <c r="H41" i="1"/>
  <c r="K41" i="1"/>
  <c r="H42" i="1"/>
  <c r="J42" i="1"/>
  <c r="J38" i="1" s="1"/>
  <c r="K42" i="1"/>
  <c r="F43" i="1"/>
  <c r="F44" i="1"/>
  <c r="G44" i="1"/>
  <c r="G43" i="1" s="1"/>
  <c r="I44" i="1"/>
  <c r="J44" i="1"/>
  <c r="H45" i="1"/>
  <c r="H44" i="1" s="1"/>
  <c r="F46" i="1"/>
  <c r="G46" i="1"/>
  <c r="I46" i="1"/>
  <c r="J46" i="1"/>
  <c r="H47" i="1"/>
  <c r="H46" i="1" s="1"/>
  <c r="F48" i="1"/>
  <c r="G48" i="1"/>
  <c r="H49" i="1"/>
  <c r="H48" i="1" s="1"/>
  <c r="J49" i="1"/>
  <c r="H50" i="1"/>
  <c r="K50" i="1" s="1"/>
  <c r="J50" i="1"/>
  <c r="J48" i="1" s="1"/>
  <c r="H51" i="1"/>
  <c r="J51" i="1"/>
  <c r="K51" i="1"/>
  <c r="H52" i="1"/>
  <c r="I52" i="1"/>
  <c r="I48" i="1" s="1"/>
  <c r="I43" i="1" s="1"/>
  <c r="J52" i="1"/>
  <c r="K52" i="1"/>
  <c r="H53" i="1"/>
  <c r="K53" i="1"/>
  <c r="H54" i="1"/>
  <c r="K54" i="1" s="1"/>
  <c r="J54" i="1"/>
  <c r="H55" i="1"/>
  <c r="J55" i="1"/>
  <c r="K55" i="1"/>
  <c r="F56" i="1"/>
  <c r="G56" i="1"/>
  <c r="I56" i="1"/>
  <c r="J56" i="1"/>
  <c r="H57" i="1"/>
  <c r="H56" i="1" s="1"/>
  <c r="K57" i="1"/>
  <c r="K56" i="1" s="1"/>
  <c r="F58" i="1"/>
  <c r="G58" i="1"/>
  <c r="I58" i="1"/>
  <c r="G59" i="1"/>
  <c r="H59" i="1"/>
  <c r="K59" i="1" s="1"/>
  <c r="J59" i="1"/>
  <c r="J58" i="1" s="1"/>
  <c r="H60" i="1"/>
  <c r="K60" i="1" s="1"/>
  <c r="J60" i="1"/>
  <c r="H61" i="1"/>
  <c r="J61" i="1"/>
  <c r="K61" i="1"/>
  <c r="I62" i="1"/>
  <c r="F63" i="1"/>
  <c r="F62" i="1" s="1"/>
  <c r="G63" i="1"/>
  <c r="G62" i="1" s="1"/>
  <c r="I63" i="1"/>
  <c r="K63" i="1"/>
  <c r="K62" i="1" s="1"/>
  <c r="H64" i="1"/>
  <c r="H63" i="1" s="1"/>
  <c r="H62" i="1" s="1"/>
  <c r="J64" i="1"/>
  <c r="J63" i="1" s="1"/>
  <c r="J62" i="1" s="1"/>
  <c r="K64" i="1"/>
  <c r="F68" i="1"/>
  <c r="F67" i="1" s="1"/>
  <c r="G68" i="1"/>
  <c r="G67" i="1" s="1"/>
  <c r="I68" i="1"/>
  <c r="I67" i="1" s="1"/>
  <c r="J68" i="1"/>
  <c r="J67" i="1" s="1"/>
  <c r="H69" i="1"/>
  <c r="H68" i="1" s="1"/>
  <c r="J69" i="1"/>
  <c r="K69" i="1"/>
  <c r="K68" i="1" s="1"/>
  <c r="H70" i="1"/>
  <c r="K70" i="1"/>
  <c r="F71" i="1"/>
  <c r="G71" i="1"/>
  <c r="I71" i="1"/>
  <c r="J71" i="1"/>
  <c r="K71" i="1"/>
  <c r="H72" i="1"/>
  <c r="H71" i="1" s="1"/>
  <c r="K72" i="1"/>
  <c r="F73" i="1"/>
  <c r="G73" i="1"/>
  <c r="I73" i="1"/>
  <c r="H74" i="1"/>
  <c r="H73" i="1" s="1"/>
  <c r="J74" i="1"/>
  <c r="J73" i="1" s="1"/>
  <c r="F75" i="1"/>
  <c r="G75" i="1"/>
  <c r="I75" i="1"/>
  <c r="J75" i="1"/>
  <c r="H76" i="1"/>
  <c r="H75" i="1" s="1"/>
  <c r="J76" i="1"/>
  <c r="K76" i="1"/>
  <c r="K75" i="1" s="1"/>
  <c r="F77" i="1"/>
  <c r="G77" i="1"/>
  <c r="I77" i="1"/>
  <c r="K77" i="1"/>
  <c r="H78" i="1"/>
  <c r="H77" i="1" s="1"/>
  <c r="J78" i="1"/>
  <c r="J77" i="1" s="1"/>
  <c r="K78" i="1"/>
  <c r="F79" i="1"/>
  <c r="G79" i="1"/>
  <c r="I79" i="1"/>
  <c r="J79" i="1"/>
  <c r="H80" i="1"/>
  <c r="F82" i="1"/>
  <c r="F81" i="1" s="1"/>
  <c r="G82" i="1"/>
  <c r="G81" i="1" s="1"/>
  <c r="J82" i="1"/>
  <c r="J81" i="1" s="1"/>
  <c r="H83" i="1"/>
  <c r="K83" i="1" s="1"/>
  <c r="I83" i="1"/>
  <c r="I82" i="1" s="1"/>
  <c r="J83" i="1"/>
  <c r="H84" i="1"/>
  <c r="K84" i="1" s="1"/>
  <c r="I84" i="1"/>
  <c r="J84" i="1"/>
  <c r="H85" i="1"/>
  <c r="J85" i="1"/>
  <c r="K85" i="1"/>
  <c r="F86" i="1"/>
  <c r="G86" i="1"/>
  <c r="I86" i="1"/>
  <c r="J86" i="1"/>
  <c r="H87" i="1"/>
  <c r="H86" i="1" s="1"/>
  <c r="K87" i="1"/>
  <c r="K86" i="1" s="1"/>
  <c r="F89" i="1"/>
  <c r="G89" i="1"/>
  <c r="I89" i="1"/>
  <c r="J89" i="1"/>
  <c r="K89" i="1"/>
  <c r="H90" i="1"/>
  <c r="H89" i="1" s="1"/>
  <c r="K90" i="1"/>
  <c r="F91" i="1"/>
  <c r="F88" i="1" s="1"/>
  <c r="G91" i="1"/>
  <c r="I91" i="1"/>
  <c r="J91" i="1"/>
  <c r="K91" i="1"/>
  <c r="H92" i="1"/>
  <c r="H91" i="1" s="1"/>
  <c r="K92" i="1"/>
  <c r="F93" i="1"/>
  <c r="G93" i="1"/>
  <c r="I93" i="1"/>
  <c r="J93" i="1"/>
  <c r="K93" i="1"/>
  <c r="H94" i="1"/>
  <c r="H93" i="1" s="1"/>
  <c r="K94" i="1"/>
  <c r="F95" i="1"/>
  <c r="G95" i="1"/>
  <c r="I95" i="1"/>
  <c r="J95" i="1"/>
  <c r="K95" i="1"/>
  <c r="H96" i="1"/>
  <c r="H95" i="1" s="1"/>
  <c r="K96" i="1"/>
  <c r="F97" i="1"/>
  <c r="G97" i="1"/>
  <c r="I97" i="1"/>
  <c r="H98" i="1"/>
  <c r="H97" i="1" s="1"/>
  <c r="J98" i="1"/>
  <c r="J97" i="1" s="1"/>
  <c r="F99" i="1"/>
  <c r="G99" i="1"/>
  <c r="I99" i="1"/>
  <c r="J99" i="1"/>
  <c r="H100" i="1"/>
  <c r="H99" i="1" s="1"/>
  <c r="J100" i="1"/>
  <c r="K100" i="1"/>
  <c r="K99" i="1" s="1"/>
  <c r="F101" i="1"/>
  <c r="G101" i="1"/>
  <c r="I101" i="1"/>
  <c r="I88" i="1" s="1"/>
  <c r="J101" i="1"/>
  <c r="H102" i="1"/>
  <c r="H101" i="1" s="1"/>
  <c r="K102" i="1"/>
  <c r="K101" i="1" s="1"/>
  <c r="F103" i="1"/>
  <c r="G103" i="1"/>
  <c r="I103" i="1"/>
  <c r="K103" i="1"/>
  <c r="H104" i="1"/>
  <c r="H103" i="1" s="1"/>
  <c r="J104" i="1"/>
  <c r="J103" i="1" s="1"/>
  <c r="K104" i="1"/>
  <c r="F106" i="1"/>
  <c r="F105" i="1" s="1"/>
  <c r="G106" i="1"/>
  <c r="H106" i="1"/>
  <c r="H105" i="1" s="1"/>
  <c r="I106" i="1"/>
  <c r="J106" i="1"/>
  <c r="J105" i="1" s="1"/>
  <c r="H107" i="1"/>
  <c r="K107" i="1" s="1"/>
  <c r="K106" i="1" s="1"/>
  <c r="F108" i="1"/>
  <c r="G108" i="1"/>
  <c r="H108" i="1"/>
  <c r="I108" i="1"/>
  <c r="J108" i="1"/>
  <c r="H109" i="1"/>
  <c r="J109" i="1"/>
  <c r="K109" i="1"/>
  <c r="K108" i="1" s="1"/>
  <c r="F110" i="1"/>
  <c r="G110" i="1"/>
  <c r="I110" i="1"/>
  <c r="I105" i="1" s="1"/>
  <c r="K110" i="1"/>
  <c r="H111" i="1"/>
  <c r="H110" i="1" s="1"/>
  <c r="J111" i="1"/>
  <c r="J110" i="1" s="1"/>
  <c r="K111" i="1"/>
  <c r="I112" i="1"/>
  <c r="J112" i="1"/>
  <c r="F113" i="1"/>
  <c r="F112" i="1" s="1"/>
  <c r="G113" i="1"/>
  <c r="G112" i="1" s="1"/>
  <c r="I113" i="1"/>
  <c r="J113" i="1"/>
  <c r="H114" i="1"/>
  <c r="H113" i="1" s="1"/>
  <c r="H112" i="1" s="1"/>
  <c r="J114" i="1"/>
  <c r="K114" i="1"/>
  <c r="K113" i="1" s="1"/>
  <c r="K112" i="1" s="1"/>
  <c r="H115" i="1"/>
  <c r="K115" i="1"/>
  <c r="F117" i="1"/>
  <c r="G117" i="1"/>
  <c r="G116" i="1" s="1"/>
  <c r="I117" i="1"/>
  <c r="I116" i="1" s="1"/>
  <c r="H118" i="1"/>
  <c r="H117" i="1" s="1"/>
  <c r="J118" i="1"/>
  <c r="J117" i="1" s="1"/>
  <c r="K118" i="1"/>
  <c r="H119" i="1"/>
  <c r="K119" i="1" s="1"/>
  <c r="K117" i="1" s="1"/>
  <c r="K116" i="1" s="1"/>
  <c r="F120" i="1"/>
  <c r="G120" i="1"/>
  <c r="H120" i="1"/>
  <c r="I120" i="1"/>
  <c r="J120" i="1"/>
  <c r="H121" i="1"/>
  <c r="K121" i="1" s="1"/>
  <c r="K120" i="1" s="1"/>
  <c r="F122" i="1"/>
  <c r="F123" i="1"/>
  <c r="G123" i="1"/>
  <c r="I123" i="1"/>
  <c r="I122" i="1" s="1"/>
  <c r="J123" i="1"/>
  <c r="H124" i="1"/>
  <c r="J124" i="1"/>
  <c r="F125" i="1"/>
  <c r="G125" i="1"/>
  <c r="I125" i="1"/>
  <c r="H126" i="1"/>
  <c r="H125" i="1" s="1"/>
  <c r="J126" i="1"/>
  <c r="J125" i="1" s="1"/>
  <c r="J122" i="1" s="1"/>
  <c r="F127" i="1"/>
  <c r="G127" i="1"/>
  <c r="I127" i="1"/>
  <c r="J127" i="1"/>
  <c r="H128" i="1"/>
  <c r="H127" i="1" s="1"/>
  <c r="J128" i="1"/>
  <c r="K128" i="1"/>
  <c r="K127" i="1" s="1"/>
  <c r="H129" i="1"/>
  <c r="K129" i="1"/>
  <c r="F130" i="1"/>
  <c r="G130" i="1"/>
  <c r="I130" i="1"/>
  <c r="H131" i="1"/>
  <c r="H130" i="1" s="1"/>
  <c r="J131" i="1"/>
  <c r="J130" i="1" s="1"/>
  <c r="F132" i="1"/>
  <c r="G132" i="1"/>
  <c r="I132" i="1"/>
  <c r="J132" i="1"/>
  <c r="H133" i="1"/>
  <c r="H132" i="1" s="1"/>
  <c r="J133" i="1"/>
  <c r="K133" i="1"/>
  <c r="K132" i="1" s="1"/>
  <c r="F134" i="1"/>
  <c r="G134" i="1"/>
  <c r="I134" i="1"/>
  <c r="H135" i="1"/>
  <c r="J135" i="1"/>
  <c r="J134" i="1" s="1"/>
  <c r="K135" i="1"/>
  <c r="H136" i="1"/>
  <c r="K136" i="1" s="1"/>
  <c r="K134" i="1" s="1"/>
  <c r="J136" i="1"/>
  <c r="F140" i="1"/>
  <c r="G140" i="1"/>
  <c r="G139" i="1" s="1"/>
  <c r="I140" i="1"/>
  <c r="K140" i="1"/>
  <c r="H141" i="1"/>
  <c r="H140" i="1" s="1"/>
  <c r="J141" i="1"/>
  <c r="J140" i="1" s="1"/>
  <c r="K141" i="1"/>
  <c r="F142" i="1"/>
  <c r="G142" i="1"/>
  <c r="H142" i="1"/>
  <c r="I142" i="1"/>
  <c r="J142" i="1"/>
  <c r="H143" i="1"/>
  <c r="K143" i="1" s="1"/>
  <c r="K142" i="1" s="1"/>
  <c r="J143" i="1"/>
  <c r="F144" i="1"/>
  <c r="G144" i="1"/>
  <c r="I144" i="1"/>
  <c r="J144" i="1"/>
  <c r="K144" i="1"/>
  <c r="H145" i="1"/>
  <c r="H144" i="1" s="1"/>
  <c r="K145" i="1"/>
  <c r="F146" i="1"/>
  <c r="G146" i="1"/>
  <c r="I146" i="1"/>
  <c r="H147" i="1"/>
  <c r="H146" i="1" s="1"/>
  <c r="J147" i="1"/>
  <c r="J146" i="1" s="1"/>
  <c r="F148" i="1"/>
  <c r="G148" i="1"/>
  <c r="I148" i="1"/>
  <c r="J148" i="1"/>
  <c r="H149" i="1"/>
  <c r="K149" i="1" s="1"/>
  <c r="K148" i="1" s="1"/>
  <c r="F150" i="1"/>
  <c r="G150" i="1"/>
  <c r="I150" i="1"/>
  <c r="J150" i="1"/>
  <c r="H151" i="1"/>
  <c r="J151" i="1"/>
  <c r="F152" i="1"/>
  <c r="G152" i="1"/>
  <c r="H153" i="1"/>
  <c r="H152" i="1" s="1"/>
  <c r="I153" i="1"/>
  <c r="J153" i="1"/>
  <c r="J152" i="1" s="1"/>
  <c r="F155" i="1"/>
  <c r="F154" i="1" s="1"/>
  <c r="G155" i="1"/>
  <c r="I155" i="1"/>
  <c r="I154" i="1" s="1"/>
  <c r="H156" i="1"/>
  <c r="H155" i="1" s="1"/>
  <c r="I156" i="1"/>
  <c r="J156" i="1"/>
  <c r="J155" i="1" s="1"/>
  <c r="J154" i="1" s="1"/>
  <c r="K156" i="1"/>
  <c r="K155" i="1" s="1"/>
  <c r="F157" i="1"/>
  <c r="G157" i="1"/>
  <c r="I157" i="1"/>
  <c r="J157" i="1"/>
  <c r="H158" i="1"/>
  <c r="H157" i="1" s="1"/>
  <c r="K158" i="1"/>
  <c r="K157" i="1" s="1"/>
  <c r="F159" i="1"/>
  <c r="G159" i="1"/>
  <c r="I159" i="1"/>
  <c r="J159" i="1"/>
  <c r="K159" i="1"/>
  <c r="H160" i="1"/>
  <c r="H159" i="1" s="1"/>
  <c r="K160" i="1"/>
  <c r="F161" i="1"/>
  <c r="G161" i="1"/>
  <c r="I161" i="1"/>
  <c r="J161" i="1"/>
  <c r="K161" i="1"/>
  <c r="H162" i="1"/>
  <c r="H161" i="1" s="1"/>
  <c r="K162" i="1"/>
  <c r="F164" i="1"/>
  <c r="G164" i="1"/>
  <c r="I164" i="1"/>
  <c r="J164" i="1"/>
  <c r="J163" i="1" s="1"/>
  <c r="K164" i="1"/>
  <c r="H165" i="1"/>
  <c r="H164" i="1" s="1"/>
  <c r="K165" i="1"/>
  <c r="F166" i="1"/>
  <c r="G166" i="1"/>
  <c r="I166" i="1"/>
  <c r="J166" i="1"/>
  <c r="K166" i="1"/>
  <c r="H167" i="1"/>
  <c r="H166" i="1" s="1"/>
  <c r="K167" i="1"/>
  <c r="F168" i="1"/>
  <c r="G168" i="1"/>
  <c r="I168" i="1"/>
  <c r="J168" i="1"/>
  <c r="H169" i="1"/>
  <c r="H168" i="1" s="1"/>
  <c r="K169" i="1"/>
  <c r="K168" i="1" s="1"/>
  <c r="F170" i="1"/>
  <c r="G170" i="1"/>
  <c r="H171" i="1"/>
  <c r="K171" i="1"/>
  <c r="H172" i="1"/>
  <c r="K172" i="1"/>
  <c r="K170" i="1" s="1"/>
  <c r="H173" i="1"/>
  <c r="I173" i="1"/>
  <c r="I170" i="1" s="1"/>
  <c r="J173" i="1"/>
  <c r="J170" i="1" s="1"/>
  <c r="K173" i="1"/>
  <c r="F174" i="1"/>
  <c r="G174" i="1"/>
  <c r="I174" i="1"/>
  <c r="J174" i="1"/>
  <c r="H175" i="1"/>
  <c r="H174" i="1" s="1"/>
  <c r="K175" i="1"/>
  <c r="K174" i="1" s="1"/>
  <c r="F177" i="1"/>
  <c r="G177" i="1"/>
  <c r="G176" i="1" s="1"/>
  <c r="H177" i="1"/>
  <c r="H176" i="1" s="1"/>
  <c r="H178" i="1"/>
  <c r="K178" i="1" s="1"/>
  <c r="K177" i="1" s="1"/>
  <c r="I178" i="1"/>
  <c r="I177" i="1" s="1"/>
  <c r="I176" i="1" s="1"/>
  <c r="J178" i="1"/>
  <c r="J177" i="1" s="1"/>
  <c r="J176" i="1" s="1"/>
  <c r="H179" i="1"/>
  <c r="K179" i="1" s="1"/>
  <c r="F180" i="1"/>
  <c r="G180" i="1"/>
  <c r="H180" i="1"/>
  <c r="I180" i="1"/>
  <c r="J180" i="1"/>
  <c r="H181" i="1"/>
  <c r="K181" i="1" s="1"/>
  <c r="K180" i="1" s="1"/>
  <c r="F182" i="1"/>
  <c r="G182" i="1"/>
  <c r="H182" i="1"/>
  <c r="I182" i="1"/>
  <c r="J182" i="1"/>
  <c r="H183" i="1"/>
  <c r="K183" i="1" s="1"/>
  <c r="K182" i="1" s="1"/>
  <c r="F184" i="1"/>
  <c r="G184" i="1"/>
  <c r="H184" i="1"/>
  <c r="I184" i="1"/>
  <c r="J184" i="1"/>
  <c r="H185" i="1"/>
  <c r="K185" i="1" s="1"/>
  <c r="K184" i="1" s="1"/>
  <c r="J185" i="1"/>
  <c r="F187" i="1"/>
  <c r="G187" i="1"/>
  <c r="G186" i="1" s="1"/>
  <c r="H188" i="1"/>
  <c r="H187" i="1" s="1"/>
  <c r="I188" i="1"/>
  <c r="I187" i="1" s="1"/>
  <c r="I186" i="1" s="1"/>
  <c r="J188" i="1"/>
  <c r="J187" i="1" s="1"/>
  <c r="K188" i="1"/>
  <c r="K187" i="1" s="1"/>
  <c r="F189" i="1"/>
  <c r="G189" i="1"/>
  <c r="I189" i="1"/>
  <c r="K189" i="1"/>
  <c r="H190" i="1"/>
  <c r="H189" i="1" s="1"/>
  <c r="J190" i="1"/>
  <c r="J189" i="1" s="1"/>
  <c r="K190" i="1"/>
  <c r="F191" i="1"/>
  <c r="G191" i="1"/>
  <c r="H191" i="1"/>
  <c r="I191" i="1"/>
  <c r="J191" i="1"/>
  <c r="H192" i="1"/>
  <c r="J192" i="1"/>
  <c r="K192" i="1"/>
  <c r="K191" i="1" s="1"/>
  <c r="F193" i="1"/>
  <c r="G193" i="1"/>
  <c r="I193" i="1"/>
  <c r="J193" i="1"/>
  <c r="K193" i="1"/>
  <c r="H194" i="1"/>
  <c r="H193" i="1" s="1"/>
  <c r="K194" i="1"/>
  <c r="F195" i="1"/>
  <c r="G195" i="1"/>
  <c r="I195" i="1"/>
  <c r="H196" i="1"/>
  <c r="H195" i="1" s="1"/>
  <c r="J196" i="1"/>
  <c r="J195" i="1" s="1"/>
  <c r="F197" i="1"/>
  <c r="G197" i="1"/>
  <c r="J197" i="1"/>
  <c r="H198" i="1"/>
  <c r="K198" i="1" s="1"/>
  <c r="I198" i="1"/>
  <c r="I197" i="1" s="1"/>
  <c r="J198" i="1"/>
  <c r="H199" i="1"/>
  <c r="K199" i="1" s="1"/>
  <c r="H200" i="1"/>
  <c r="J200" i="1"/>
  <c r="K200" i="1"/>
  <c r="H201" i="1"/>
  <c r="J201" i="1"/>
  <c r="K201" i="1"/>
  <c r="F202" i="1"/>
  <c r="G202" i="1"/>
  <c r="J202" i="1"/>
  <c r="H203" i="1"/>
  <c r="K203" i="1" s="1"/>
  <c r="I203" i="1"/>
  <c r="I202" i="1" s="1"/>
  <c r="J203" i="1"/>
  <c r="H204" i="1"/>
  <c r="K204" i="1" s="1"/>
  <c r="H205" i="1"/>
  <c r="K205" i="1" s="1"/>
  <c r="J205" i="1"/>
  <c r="F206" i="1"/>
  <c r="G206" i="1"/>
  <c r="I206" i="1"/>
  <c r="J206" i="1"/>
  <c r="H207" i="1"/>
  <c r="H206" i="1" s="1"/>
  <c r="K207" i="1"/>
  <c r="K206" i="1" s="1"/>
  <c r="H208" i="1"/>
  <c r="I208" i="1"/>
  <c r="J208" i="1"/>
  <c r="K208" i="1"/>
  <c r="F209" i="1"/>
  <c r="F210" i="1"/>
  <c r="G210" i="1"/>
  <c r="G209" i="1" s="1"/>
  <c r="I210" i="1"/>
  <c r="I209" i="1" s="1"/>
  <c r="H211" i="1"/>
  <c r="H210" i="1" s="1"/>
  <c r="H209" i="1" s="1"/>
  <c r="J211" i="1"/>
  <c r="J210" i="1" s="1"/>
  <c r="J209" i="1" s="1"/>
  <c r="F213" i="1"/>
  <c r="F212" i="1" s="1"/>
  <c r="G213" i="1"/>
  <c r="H213" i="1"/>
  <c r="I213" i="1"/>
  <c r="J213" i="1"/>
  <c r="H214" i="1"/>
  <c r="K214" i="1" s="1"/>
  <c r="K213" i="1" s="1"/>
  <c r="F215" i="1"/>
  <c r="G215" i="1"/>
  <c r="I215" i="1"/>
  <c r="J215" i="1"/>
  <c r="H216" i="1"/>
  <c r="K216" i="1" s="1"/>
  <c r="H217" i="1"/>
  <c r="K217" i="1" s="1"/>
  <c r="F218" i="1"/>
  <c r="G218" i="1"/>
  <c r="G212" i="1" s="1"/>
  <c r="I218" i="1"/>
  <c r="H219" i="1"/>
  <c r="H218" i="1" s="1"/>
  <c r="J219" i="1"/>
  <c r="H220" i="1"/>
  <c r="K220" i="1" s="1"/>
  <c r="J220" i="1"/>
  <c r="J218" i="1" s="1"/>
  <c r="F221" i="1"/>
  <c r="G221" i="1"/>
  <c r="I221" i="1"/>
  <c r="J221" i="1"/>
  <c r="H222" i="1"/>
  <c r="K222" i="1" s="1"/>
  <c r="K221" i="1" s="1"/>
  <c r="H223" i="1"/>
  <c r="K223" i="1" s="1"/>
  <c r="F224" i="1"/>
  <c r="G224" i="1"/>
  <c r="H225" i="1"/>
  <c r="K225" i="1" s="1"/>
  <c r="K224" i="1" s="1"/>
  <c r="I225" i="1"/>
  <c r="I224" i="1" s="1"/>
  <c r="J225" i="1"/>
  <c r="J224" i="1" s="1"/>
  <c r="H226" i="1"/>
  <c r="K226" i="1" s="1"/>
  <c r="F227" i="1"/>
  <c r="F228" i="1"/>
  <c r="G228" i="1"/>
  <c r="G227" i="1" s="1"/>
  <c r="J228" i="1"/>
  <c r="J227" i="1" s="1"/>
  <c r="H229" i="1"/>
  <c r="K229" i="1" s="1"/>
  <c r="I229" i="1"/>
  <c r="I228" i="1" s="1"/>
  <c r="I227" i="1" s="1"/>
  <c r="J229" i="1"/>
  <c r="H230" i="1"/>
  <c r="K230" i="1" s="1"/>
  <c r="G231" i="1"/>
  <c r="J231" i="1"/>
  <c r="F232" i="1"/>
  <c r="F231" i="1" s="1"/>
  <c r="G232" i="1"/>
  <c r="I232" i="1"/>
  <c r="I231" i="1" s="1"/>
  <c r="J232" i="1"/>
  <c r="H233" i="1"/>
  <c r="K233" i="1" s="1"/>
  <c r="K232" i="1" s="1"/>
  <c r="K231" i="1" s="1"/>
  <c r="F234" i="1"/>
  <c r="G234" i="1"/>
  <c r="I234" i="1"/>
  <c r="J234" i="1"/>
  <c r="H235" i="1"/>
  <c r="K235" i="1" s="1"/>
  <c r="K234" i="1" s="1"/>
  <c r="G238" i="1"/>
  <c r="G237" i="1" s="1"/>
  <c r="F239" i="1"/>
  <c r="F238" i="1" s="1"/>
  <c r="G239" i="1"/>
  <c r="H239" i="1"/>
  <c r="H238" i="1" s="1"/>
  <c r="H237" i="1" s="1"/>
  <c r="I239" i="1"/>
  <c r="I238" i="1" s="1"/>
  <c r="I237" i="1" s="1"/>
  <c r="J239" i="1"/>
  <c r="J238" i="1" s="1"/>
  <c r="H240" i="1"/>
  <c r="K240" i="1" s="1"/>
  <c r="K239" i="1" s="1"/>
  <c r="K238" i="1" s="1"/>
  <c r="K237" i="1" s="1"/>
  <c r="I241" i="1"/>
  <c r="F242" i="1"/>
  <c r="F241" i="1" s="1"/>
  <c r="G242" i="1"/>
  <c r="G241" i="1" s="1"/>
  <c r="H242" i="1"/>
  <c r="H241" i="1" s="1"/>
  <c r="I242" i="1"/>
  <c r="J242" i="1"/>
  <c r="J241" i="1" s="1"/>
  <c r="H243" i="1"/>
  <c r="K243" i="1" s="1"/>
  <c r="K242" i="1" s="1"/>
  <c r="K241" i="1" s="1"/>
  <c r="F247" i="1"/>
  <c r="F246" i="1" s="1"/>
  <c r="G247" i="1"/>
  <c r="H247" i="1"/>
  <c r="H246" i="1" s="1"/>
  <c r="I247" i="1"/>
  <c r="J247" i="1"/>
  <c r="J246" i="1" s="1"/>
  <c r="H248" i="1"/>
  <c r="J248" i="1"/>
  <c r="K248" i="1"/>
  <c r="K247" i="1" s="1"/>
  <c r="F249" i="1"/>
  <c r="G249" i="1"/>
  <c r="I249" i="1"/>
  <c r="I246" i="1" s="1"/>
  <c r="J249" i="1"/>
  <c r="H250" i="1"/>
  <c r="H249" i="1" s="1"/>
  <c r="K250" i="1"/>
  <c r="H251" i="1"/>
  <c r="K251" i="1"/>
  <c r="K249" i="1" s="1"/>
  <c r="H252" i="1"/>
  <c r="K252" i="1"/>
  <c r="F253" i="1"/>
  <c r="G253" i="1"/>
  <c r="I253" i="1"/>
  <c r="J253" i="1"/>
  <c r="K253" i="1"/>
  <c r="H254" i="1"/>
  <c r="H253" i="1" s="1"/>
  <c r="K254" i="1"/>
  <c r="F255" i="1"/>
  <c r="J255" i="1"/>
  <c r="F256" i="1"/>
  <c r="G256" i="1"/>
  <c r="G255" i="1" s="1"/>
  <c r="I256" i="1"/>
  <c r="J256" i="1"/>
  <c r="K256" i="1"/>
  <c r="H257" i="1"/>
  <c r="H256" i="1" s="1"/>
  <c r="H255" i="1" s="1"/>
  <c r="K257" i="1"/>
  <c r="F258" i="1"/>
  <c r="G258" i="1"/>
  <c r="I258" i="1"/>
  <c r="I255" i="1" s="1"/>
  <c r="J258" i="1"/>
  <c r="H259" i="1"/>
  <c r="H258" i="1" s="1"/>
  <c r="K259" i="1"/>
  <c r="K258" i="1" s="1"/>
  <c r="K255" i="1" s="1"/>
  <c r="F261" i="1"/>
  <c r="F260" i="1" s="1"/>
  <c r="G261" i="1"/>
  <c r="G260" i="1" s="1"/>
  <c r="I261" i="1"/>
  <c r="I260" i="1" s="1"/>
  <c r="J261" i="1"/>
  <c r="J260" i="1" s="1"/>
  <c r="H262" i="1"/>
  <c r="H261" i="1" s="1"/>
  <c r="H260" i="1" s="1"/>
  <c r="K262" i="1"/>
  <c r="H263" i="1"/>
  <c r="K263" i="1"/>
  <c r="K261" i="1" s="1"/>
  <c r="K260" i="1" s="1"/>
  <c r="F265" i="1"/>
  <c r="F264" i="1" s="1"/>
  <c r="G265" i="1"/>
  <c r="G264" i="1" s="1"/>
  <c r="I265" i="1"/>
  <c r="I264" i="1" s="1"/>
  <c r="J265" i="1"/>
  <c r="J264" i="1" s="1"/>
  <c r="K265" i="1"/>
  <c r="K264" i="1" s="1"/>
  <c r="H266" i="1"/>
  <c r="H265" i="1" s="1"/>
  <c r="H264" i="1" s="1"/>
  <c r="K266" i="1"/>
  <c r="F268" i="1"/>
  <c r="G268" i="1"/>
  <c r="I268" i="1"/>
  <c r="I267" i="1" s="1"/>
  <c r="J268" i="1"/>
  <c r="H269" i="1"/>
  <c r="H268" i="1" s="1"/>
  <c r="F270" i="1"/>
  <c r="G270" i="1"/>
  <c r="H270" i="1"/>
  <c r="I270" i="1"/>
  <c r="K270" i="1"/>
  <c r="H271" i="1"/>
  <c r="K271" i="1" s="1"/>
  <c r="J271" i="1"/>
  <c r="J270" i="1" s="1"/>
  <c r="J267" i="1" s="1"/>
  <c r="F272" i="1"/>
  <c r="F267" i="1" s="1"/>
  <c r="G272" i="1"/>
  <c r="G267" i="1" s="1"/>
  <c r="I272" i="1"/>
  <c r="J272" i="1"/>
  <c r="K272" i="1"/>
  <c r="H273" i="1"/>
  <c r="K273" i="1" s="1"/>
  <c r="F274" i="1"/>
  <c r="G274" i="1"/>
  <c r="I274" i="1"/>
  <c r="J274" i="1"/>
  <c r="H275" i="1"/>
  <c r="K275" i="1" s="1"/>
  <c r="K274" i="1" s="1"/>
  <c r="K276" i="1"/>
  <c r="F277" i="1"/>
  <c r="K278" i="1"/>
  <c r="K277" i="1" s="1"/>
  <c r="F279" i="1"/>
  <c r="F278" i="1" s="1"/>
  <c r="G279" i="1"/>
  <c r="G278" i="1" s="1"/>
  <c r="I279" i="1"/>
  <c r="I278" i="1" s="1"/>
  <c r="J279" i="1"/>
  <c r="J278" i="1" s="1"/>
  <c r="J277" i="1" s="1"/>
  <c r="K279" i="1"/>
  <c r="H280" i="1"/>
  <c r="H279" i="1" s="1"/>
  <c r="H278" i="1" s="1"/>
  <c r="H277" i="1" s="1"/>
  <c r="K280" i="1"/>
  <c r="H282" i="1"/>
  <c r="H284" i="1"/>
  <c r="H283" i="1" s="1"/>
  <c r="H285" i="1"/>
  <c r="K285" i="1"/>
  <c r="K284" i="1" s="1"/>
  <c r="K283" i="1" s="1"/>
  <c r="K282" i="1" s="1"/>
  <c r="J245" i="1" l="1"/>
  <c r="I277" i="1"/>
  <c r="H267" i="1"/>
  <c r="H245" i="1" s="1"/>
  <c r="J237" i="1"/>
  <c r="F237" i="1"/>
  <c r="J212" i="1"/>
  <c r="G277" i="1"/>
  <c r="K163" i="1"/>
  <c r="F245" i="1"/>
  <c r="K269" i="1"/>
  <c r="K268" i="1" s="1"/>
  <c r="K267" i="1" s="1"/>
  <c r="K246" i="1"/>
  <c r="H234" i="1"/>
  <c r="K228" i="1"/>
  <c r="K227" i="1" s="1"/>
  <c r="H221" i="1"/>
  <c r="H212" i="1" s="1"/>
  <c r="K202" i="1"/>
  <c r="H197" i="1"/>
  <c r="J186" i="1"/>
  <c r="I163" i="1"/>
  <c r="I245" i="1"/>
  <c r="H224" i="1"/>
  <c r="K219" i="1"/>
  <c r="K218" i="1" s="1"/>
  <c r="H215" i="1"/>
  <c r="K176" i="1"/>
  <c r="F176" i="1"/>
  <c r="G163" i="1"/>
  <c r="K154" i="1"/>
  <c r="G138" i="1"/>
  <c r="H123" i="1"/>
  <c r="K124" i="1"/>
  <c r="K123" i="1" s="1"/>
  <c r="H272" i="1"/>
  <c r="G246" i="1"/>
  <c r="H232" i="1"/>
  <c r="H228" i="1"/>
  <c r="H227" i="1" s="1"/>
  <c r="K215" i="1"/>
  <c r="K212" i="1" s="1"/>
  <c r="I212" i="1"/>
  <c r="H202" i="1"/>
  <c r="K197" i="1"/>
  <c r="F186" i="1"/>
  <c r="H186" i="1"/>
  <c r="G154" i="1"/>
  <c r="I152" i="1"/>
  <c r="I139" i="1" s="1"/>
  <c r="K153" i="1"/>
  <c r="K152" i="1" s="1"/>
  <c r="G122" i="1"/>
  <c r="H274" i="1"/>
  <c r="H150" i="1"/>
  <c r="K151" i="1"/>
  <c r="K150" i="1" s="1"/>
  <c r="K211" i="1"/>
  <c r="K210" i="1" s="1"/>
  <c r="K209" i="1" s="1"/>
  <c r="K196" i="1"/>
  <c r="K195" i="1" s="1"/>
  <c r="K186" i="1" s="1"/>
  <c r="H170" i="1"/>
  <c r="H163" i="1" s="1"/>
  <c r="H148" i="1"/>
  <c r="J116" i="1"/>
  <c r="I66" i="1"/>
  <c r="I23" i="1"/>
  <c r="I13" i="1"/>
  <c r="H154" i="1"/>
  <c r="J139" i="1"/>
  <c r="H116" i="1"/>
  <c r="F116" i="1"/>
  <c r="H88" i="1"/>
  <c r="G88" i="1"/>
  <c r="I81" i="1"/>
  <c r="K58" i="1"/>
  <c r="H43" i="1"/>
  <c r="H13" i="1"/>
  <c r="F163" i="1"/>
  <c r="H139" i="1"/>
  <c r="F139" i="1"/>
  <c r="H134" i="1"/>
  <c r="K105" i="1"/>
  <c r="G105" i="1"/>
  <c r="J88" i="1"/>
  <c r="K88" i="1"/>
  <c r="K82" i="1"/>
  <c r="K81" i="1" s="1"/>
  <c r="H67" i="1"/>
  <c r="J43" i="1"/>
  <c r="J34" i="1"/>
  <c r="F12" i="1"/>
  <c r="G12" i="1"/>
  <c r="H79" i="1"/>
  <c r="K80" i="1"/>
  <c r="K79" i="1" s="1"/>
  <c r="J66" i="1"/>
  <c r="J23" i="1"/>
  <c r="K147" i="1"/>
  <c r="K146" i="1" s="1"/>
  <c r="K139" i="1" s="1"/>
  <c r="K138" i="1" s="1"/>
  <c r="K131" i="1"/>
  <c r="K130" i="1" s="1"/>
  <c r="K126" i="1"/>
  <c r="K125" i="1" s="1"/>
  <c r="K98" i="1"/>
  <c r="K97" i="1" s="1"/>
  <c r="K74" i="1"/>
  <c r="K73" i="1" s="1"/>
  <c r="K67" i="1" s="1"/>
  <c r="H58" i="1"/>
  <c r="K31" i="1"/>
  <c r="K30" i="1" s="1"/>
  <c r="K15" i="1"/>
  <c r="K14" i="1" s="1"/>
  <c r="K13" i="1" s="1"/>
  <c r="H82" i="1"/>
  <c r="H81" i="1" s="1"/>
  <c r="K49" i="1"/>
  <c r="K48" i="1" s="1"/>
  <c r="H35" i="1"/>
  <c r="H34" i="1" s="1"/>
  <c r="H32" i="1"/>
  <c r="K28" i="1"/>
  <c r="K27" i="1" s="1"/>
  <c r="K23" i="1" s="1"/>
  <c r="H24" i="1"/>
  <c r="H19" i="1"/>
  <c r="H18" i="1" s="1"/>
  <c r="H16" i="1"/>
  <c r="K47" i="1"/>
  <c r="K46" i="1" s="1"/>
  <c r="K45" i="1"/>
  <c r="K44" i="1" s="1"/>
  <c r="K22" i="1"/>
  <c r="K21" i="1" s="1"/>
  <c r="K18" i="1" s="1"/>
  <c r="K66" i="1" l="1"/>
  <c r="I138" i="1"/>
  <c r="J138" i="1"/>
  <c r="J12" i="1"/>
  <c r="H231" i="1"/>
  <c r="H138" i="1" s="1"/>
  <c r="K245" i="1"/>
  <c r="G245" i="1"/>
  <c r="G66" i="1"/>
  <c r="I12" i="1"/>
  <c r="I10" i="1" s="1"/>
  <c r="K122" i="1"/>
  <c r="K43" i="1"/>
  <c r="K12" i="1" s="1"/>
  <c r="K10" i="1" s="1"/>
  <c r="H23" i="1"/>
  <c r="H12" i="1" s="1"/>
  <c r="G10" i="1"/>
  <c r="F66" i="1"/>
  <c r="F138" i="1"/>
  <c r="H122" i="1"/>
  <c r="H66" i="1" s="1"/>
  <c r="F10" i="1"/>
  <c r="H10" i="1" l="1"/>
  <c r="J10" i="1"/>
</calcChain>
</file>

<file path=xl/sharedStrings.xml><?xml version="1.0" encoding="utf-8"?>
<sst xmlns="http://schemas.openxmlformats.org/spreadsheetml/2006/main" count="286" uniqueCount="238">
  <si>
    <t>Otros Convenios</t>
  </si>
  <si>
    <t>Convenios</t>
  </si>
  <si>
    <t>PARTICIPACIONES Y APORTACIONES</t>
  </si>
  <si>
    <t>Acabados y otros trabajos especializados en bienes propios</t>
  </si>
  <si>
    <t>Trabajos de acabados en edificaciones y otros trabajos especializados</t>
  </si>
  <si>
    <t>Obra pública en bienes propios</t>
  </si>
  <si>
    <t>INVERSION PÚBLICA</t>
  </si>
  <si>
    <t>Otros equipos</t>
  </si>
  <si>
    <t>Equipos de generación eléctrica, aparatos y accesorios eléctricos</t>
  </si>
  <si>
    <t>Equipo de comunicación y telecomunicación</t>
  </si>
  <si>
    <t>Maquinaria y equipo de aire acondicionado</t>
  </si>
  <si>
    <t>Sistemas de aire acondicionado, calefacción y de refrigeración industrial y comercial</t>
  </si>
  <si>
    <t>Maquinaria, otros equipos y herramientas</t>
  </si>
  <si>
    <t>Vehículos y equipo terrestre</t>
  </si>
  <si>
    <t>Vehículos y equipo terreste</t>
  </si>
  <si>
    <t>Instrumental médico y de laboratorio</t>
  </si>
  <si>
    <t>Equipo médico y de laboratorio</t>
  </si>
  <si>
    <t>Equipos e instrumental medico y de laboratorio</t>
  </si>
  <si>
    <t>Cámaras fotograficas y de video</t>
  </si>
  <si>
    <t>Equipos y aparatos audiovisuales</t>
  </si>
  <si>
    <t>Mobiliario y equipo educacional y recreativo</t>
  </si>
  <si>
    <t>Otros mobiliarios y equipos de administracion</t>
  </si>
  <si>
    <t>Equipo de cómputo diverso</t>
  </si>
  <si>
    <t>Adquisición de impresor</t>
  </si>
  <si>
    <t>Equipo de computo y de tecnología de la información</t>
  </si>
  <si>
    <t>Equipo de computo y tecnologías de la información</t>
  </si>
  <si>
    <t>Muebles de oficina y estantería</t>
  </si>
  <si>
    <t>Mobiliario y equipo de administración</t>
  </si>
  <si>
    <t>BIENES MUEBLES, INMUEBLES E INTANGIBLES</t>
  </si>
  <si>
    <t>Transferencias a Fideicomisos del Poder Judicial</t>
  </si>
  <si>
    <t>Transferencias a Fideicomisos</t>
  </si>
  <si>
    <t>Transferencias a fideicomisos , mandatos y otros análogos</t>
  </si>
  <si>
    <t>Cuotas a Organismos Nacionales</t>
  </si>
  <si>
    <t>Ayudas sociales a instituciones sin fines de lucro</t>
  </si>
  <si>
    <t>Ayudas sociales</t>
  </si>
  <si>
    <t>TRANSFERENCIAS, ASIGNACIONES, SUBSIDIOS Y OTRAS AYUDAS</t>
  </si>
  <si>
    <t>Otros gastos por responsabilidades</t>
  </si>
  <si>
    <t>Impuestos y derechos</t>
  </si>
  <si>
    <t>Otros servicios generales</t>
  </si>
  <si>
    <t>Gastos de representación</t>
  </si>
  <si>
    <t>Reuniones de trabajo</t>
  </si>
  <si>
    <t>Servicios oficiales</t>
  </si>
  <si>
    <t>Hospedaje y pasajes de invitados</t>
  </si>
  <si>
    <t>Peajes</t>
  </si>
  <si>
    <t>Otros servicios de traslado</t>
  </si>
  <si>
    <t>Hospedaje en el extranjero</t>
  </si>
  <si>
    <t>Viáticos en el extranjero</t>
  </si>
  <si>
    <t>Hospedaje en el país</t>
  </si>
  <si>
    <t>Viáticos en el país</t>
  </si>
  <si>
    <t>Pasaje terrestre presos</t>
  </si>
  <si>
    <t>Pasajes terrestres</t>
  </si>
  <si>
    <t>Pasajes aéreos</t>
  </si>
  <si>
    <t>Servicios de traslado y viáticos</t>
  </si>
  <si>
    <t>Servicios de difusión institucional</t>
  </si>
  <si>
    <t>Difusión por radio, televisión y otros medios de mensajes sobre programas y actividades gubernamentales</t>
  </si>
  <si>
    <t>Servicios de comunicación social y publicidad</t>
  </si>
  <si>
    <t>Servicios de fumigación</t>
  </si>
  <si>
    <t>Servicios de jardinería</t>
  </si>
  <si>
    <t>Servicios de jardinería y fumigación</t>
  </si>
  <si>
    <t>Servicios de recolección y manejo de desechos</t>
  </si>
  <si>
    <t>Servicio de lavandería</t>
  </si>
  <si>
    <t>Servicios de limpieza</t>
  </si>
  <si>
    <t>Servicios de limpieza y manejo de desechos</t>
  </si>
  <si>
    <t>Instalación, reparación y mantenimiento de otros equipos</t>
  </si>
  <si>
    <t>Instalación, reparación y mantenimiento de equipos de generación eléctrica y aparatos electrónicos</t>
  </si>
  <si>
    <t>Instalación, reparación y mantenimiento de equipo de comunicación y telecomunicación</t>
  </si>
  <si>
    <t>Instalación, reparación y mantenimiento de sistemas de aire acondicionado, calefacción y de refrigeración</t>
  </si>
  <si>
    <t>Instalación, reparación y mantenimiento de maquinaria, otros equipos y herramientas</t>
  </si>
  <si>
    <t>Reparación y mantenimiento de equipo de transporte</t>
  </si>
  <si>
    <t>Instalación, reparación y mantenimiento de equipo e instrumental medico y de laboratorio</t>
  </si>
  <si>
    <t>Instalación, reparación y mantenimiento de equipo de computo y tecnologías de la información</t>
  </si>
  <si>
    <t>Instalación, reparación y mantenimiento de mobiliario y equipo de administración</t>
  </si>
  <si>
    <t>Instalación, reparación y mantenimiento de mobiliario y equipo de administración, educacional y recreativo</t>
  </si>
  <si>
    <t>Conservación y mantenimiento menor de edificios y locales</t>
  </si>
  <si>
    <t>Conservación y mantenimiento menor de inmuebles</t>
  </si>
  <si>
    <t>Servicios de instalación, reparación, mantenimiento y conservación</t>
  </si>
  <si>
    <t>Seguros de bienes patrimoniales</t>
  </si>
  <si>
    <t>Seguro  de bienes patrimoniales</t>
  </si>
  <si>
    <t>Seguros de responsabilidad patrimonial y fianzas</t>
  </si>
  <si>
    <t>Servicio de traslado y custodia de valores</t>
  </si>
  <si>
    <t xml:space="preserve">Servicios de recaudación, traslado y custodia de valores </t>
  </si>
  <si>
    <t>Avaluos no relacionados con la ejecucion de obras</t>
  </si>
  <si>
    <t>Intereses, comisiones y servicios bancarios</t>
  </si>
  <si>
    <t>Servicios financieros y bancarios</t>
  </si>
  <si>
    <t>Servicios Financieros, bancarios y comerciales</t>
  </si>
  <si>
    <t>Servicio de vigilancia y monitoreo</t>
  </si>
  <si>
    <t>Servicios de vigilancia</t>
  </si>
  <si>
    <t>Otros servicios de apoyo administrativo</t>
  </si>
  <si>
    <t>Servicios de impresión</t>
  </si>
  <si>
    <t>Servicio de apoyo administrativo y fotocopiado</t>
  </si>
  <si>
    <t>Servicios de apoyo administrativo, traducción, fotocopiado e impresión</t>
  </si>
  <si>
    <t>Servicios de capacitación</t>
  </si>
  <si>
    <t>Servicios y asesorias en materia de ingenieria, arquitectura y diseño</t>
  </si>
  <si>
    <t>Servicios de diseño, arquitectura, ingenieria y actividades relacionadas</t>
  </si>
  <si>
    <t>Servicios legales y asesorías en materia jurídica, económica y contable</t>
  </si>
  <si>
    <t>Servicios legales, de contabilidad, auditoria y relacionados</t>
  </si>
  <si>
    <t>Servicios profesionales, científicos, técnicos y otros servicios</t>
  </si>
  <si>
    <t>Otros arrendamientos</t>
  </si>
  <si>
    <t>Arrendamiento de activos intangibles</t>
  </si>
  <si>
    <t>Arrendamiento mobiliario y equipo de administración, educacional, recreativo y de bienes informáticos</t>
  </si>
  <si>
    <t>Arrendamiento mobiliario y equipo de administración, educacional y recreativo</t>
  </si>
  <si>
    <t>Arrendamiento de edificios y locales</t>
  </si>
  <si>
    <t>Arrendamiento de edificios</t>
  </si>
  <si>
    <t>Servicios de arrendamiento</t>
  </si>
  <si>
    <t>Servicio postal, telégrafo y mensajería</t>
  </si>
  <si>
    <t>Servicios postales y telegráficos</t>
  </si>
  <si>
    <t>Servicio de acceso a Internet, redes y procesamiento de información</t>
  </si>
  <si>
    <t>Servicios de telecomunicaciones y satélites</t>
  </si>
  <si>
    <t>Servicios de telefonía celular</t>
  </si>
  <si>
    <t>Telefonía celular</t>
  </si>
  <si>
    <t>Servicio telefónico tradicional</t>
  </si>
  <si>
    <t>Telefonía tradicional</t>
  </si>
  <si>
    <t>Servicio de agua potable</t>
  </si>
  <si>
    <t>Agua</t>
  </si>
  <si>
    <t>Servicio de energía eléctrica</t>
  </si>
  <si>
    <t>Energía eléctrica</t>
  </si>
  <si>
    <t>Servicios básicos</t>
  </si>
  <si>
    <t>SERVICIOS GENERALES</t>
  </si>
  <si>
    <t>Refacciones y accesorios menores de equipos de comunicación y telecomunicacion</t>
  </si>
  <si>
    <t>Refacciones y accesorios menores de sistemas de aire acondicionado, calefacción y refrigeración</t>
  </si>
  <si>
    <t>Refacciones y accesorios menores de maquinaria y otros equipos</t>
  </si>
  <si>
    <t>Refacciones y accesorios menores de equipo de transporte</t>
  </si>
  <si>
    <t>Refacciones y accesorios menores de equipo de computo y tecnologías de la información</t>
  </si>
  <si>
    <t>Refacciones y accesorios menores de Mob. Y Eq. Educacional y recreativo</t>
  </si>
  <si>
    <t>Refacciones y accesorios menores de mobiliario y equipo de administración</t>
  </si>
  <si>
    <t>Refacciones y accesorios menores de mobiliario y equipo de administración, educacional y recreativo</t>
  </si>
  <si>
    <t>Refacciones y accesorios menores de edificios</t>
  </si>
  <si>
    <t>herramientas menores</t>
  </si>
  <si>
    <t>Herramientas menores</t>
  </si>
  <si>
    <t>Herramientas, refacciones y accesorios menores</t>
  </si>
  <si>
    <t>Artículos deportivos</t>
  </si>
  <si>
    <t>Vesturario, uniformes exclusivos del SEMEFO</t>
  </si>
  <si>
    <t>Vestuario y uniformes</t>
  </si>
  <si>
    <t>Vestuario, blancos, prendas de protección y artículos deportivos</t>
  </si>
  <si>
    <t>Lubricantes y aditivos</t>
  </si>
  <si>
    <t>Combustibles</t>
  </si>
  <si>
    <t>Combustibles, lubricantes y aditivos</t>
  </si>
  <si>
    <t>Materiales, accesorios y suministros de laboratorio</t>
  </si>
  <si>
    <t>Materiales, accesorios y suministros médicos</t>
  </si>
  <si>
    <t>Medicinas y productos farmacéuticos</t>
  </si>
  <si>
    <t>Productos químicos, farmacéuticos y de laboratorio</t>
  </si>
  <si>
    <t>Otros materiales y artículos de construcción y reparación</t>
  </si>
  <si>
    <t>Materiales complementarios</t>
  </si>
  <si>
    <t>Artículos metálicos para la construcción</t>
  </si>
  <si>
    <t>Material eléctrico</t>
  </si>
  <si>
    <t>Material eléctrico y electrónico</t>
  </si>
  <si>
    <t>Vidrio y productos de vidrio</t>
  </si>
  <si>
    <t>Madera y productos de madera</t>
  </si>
  <si>
    <t>Cal, yeso y productos de yeso</t>
  </si>
  <si>
    <t>Cemento y productos de concreto</t>
  </si>
  <si>
    <t>Materiales y artículos de construcción y de reparación</t>
  </si>
  <si>
    <t>Utensilios para el servicio de alimentacion</t>
  </si>
  <si>
    <t>Artículos de cafetería</t>
  </si>
  <si>
    <t>Agua y hielo para consumo humano</t>
  </si>
  <si>
    <t>Alimentación de personal</t>
  </si>
  <si>
    <t>Productos alimenticios para personas</t>
  </si>
  <si>
    <t>Alimentos y utensilios</t>
  </si>
  <si>
    <t>Material para credencialización</t>
  </si>
  <si>
    <t>Material para el registro e identificación de bienes y personas</t>
  </si>
  <si>
    <t>Material de limpieza</t>
  </si>
  <si>
    <t>Material impreso y de apoyo informativo</t>
  </si>
  <si>
    <t>Material impreso e información digital</t>
  </si>
  <si>
    <t>Materiales, útiles y equipos menores de tecnologías de la información y comunicación</t>
  </si>
  <si>
    <t>Materiales, útiles y equipos menores de tecnologías de la información y comunicaciones</t>
  </si>
  <si>
    <t>Materiales y útiles de impresión y reproducción</t>
  </si>
  <si>
    <t>Equipos menores de oficina</t>
  </si>
  <si>
    <t>Materiales y útiles de oficina</t>
  </si>
  <si>
    <t>Materiales, útiles y equipos menores de oficina</t>
  </si>
  <si>
    <t>Materiales de administración, emisión de documentos y artículos oficiales</t>
  </si>
  <si>
    <t>MATERIALES Y SUMINISTROS</t>
  </si>
  <si>
    <t>Estímulo por productividad</t>
  </si>
  <si>
    <t>Estímulos</t>
  </si>
  <si>
    <t>Pago de estímulos a servidores públicos</t>
  </si>
  <si>
    <t>Servicios Médicos</t>
  </si>
  <si>
    <t>Gastos médicos menores Magistrados, Jueces y Consejeros</t>
  </si>
  <si>
    <t>Otras prestaciones</t>
  </si>
  <si>
    <t>Otras prestaciones sociales y económicas</t>
  </si>
  <si>
    <t>Inscripción en cursos para el personal</t>
  </si>
  <si>
    <t>Apoyo a la capacitación de los servidores públicos</t>
  </si>
  <si>
    <t>Otras prestaciones contractuales</t>
  </si>
  <si>
    <t>Fomento educativo</t>
  </si>
  <si>
    <t>Bono por buena disposición</t>
  </si>
  <si>
    <t>Incentivo a la eficiencia</t>
  </si>
  <si>
    <t>Previsión social multiple</t>
  </si>
  <si>
    <t>Bono de transporte</t>
  </si>
  <si>
    <t>Canasta básica</t>
  </si>
  <si>
    <t>Prestaciones contractuales</t>
  </si>
  <si>
    <t>Pensiones y jubilaciones por convenio otros</t>
  </si>
  <si>
    <t>Prestaciones y haberes de retiro</t>
  </si>
  <si>
    <t>Indemnizaciones</t>
  </si>
  <si>
    <t xml:space="preserve">Seguro Gastos médicos mayores Magistrados, Jueces y Consejeros </t>
  </si>
  <si>
    <t>Seguro de Gastos Médicos al personal de confianza (Mayores)</t>
  </si>
  <si>
    <t>Seguro de vida Magistrados, Jueces y Consejeros</t>
  </si>
  <si>
    <t>Seguro de vida</t>
  </si>
  <si>
    <t>Aportaciones para seguros</t>
  </si>
  <si>
    <t>Aportaciones patronales de fondo de pensiones</t>
  </si>
  <si>
    <t>Aportaciones patronales de servicio médico</t>
  </si>
  <si>
    <t>Aportaciones de seguridad social</t>
  </si>
  <si>
    <t>Seguridad social</t>
  </si>
  <si>
    <t>Compensaciones</t>
  </si>
  <si>
    <t>Tiempo extraordinario</t>
  </si>
  <si>
    <t>Horas extraordinarias</t>
  </si>
  <si>
    <t>Gratificacion de fin de año</t>
  </si>
  <si>
    <t>Prima vacacional</t>
  </si>
  <si>
    <t>Primas de vacaciones, dominical y gratificación de fin de año</t>
  </si>
  <si>
    <t>Prima de antigüedad</t>
  </si>
  <si>
    <t>Primas por años de servicio efectivos prestados</t>
  </si>
  <si>
    <t>Primas por años de servicios efectivos prestados</t>
  </si>
  <si>
    <t>Remuneraciones adicionales y especiales</t>
  </si>
  <si>
    <t>Servicio social a estudiantes y profesionistas</t>
  </si>
  <si>
    <t>Retribuciones por servicios de carácter social</t>
  </si>
  <si>
    <t>Sueldo tabular personal eventual</t>
  </si>
  <si>
    <t>Sueldos base al personal eventual</t>
  </si>
  <si>
    <t>Remuneraciones al personal de carácter transitorio</t>
  </si>
  <si>
    <t>Sueldo tabular personal permanente</t>
  </si>
  <si>
    <t>Sueldos base al personal permanente</t>
  </si>
  <si>
    <t>Dietas y Retribuciones</t>
  </si>
  <si>
    <t>Dietas</t>
  </si>
  <si>
    <t>Remuneraciones al personal de carácter permanente</t>
  </si>
  <si>
    <t>SERVICIOS PERSONALES</t>
  </si>
  <si>
    <t>TOTALES</t>
  </si>
  <si>
    <t>Pagado</t>
  </si>
  <si>
    <t>Devengado</t>
  </si>
  <si>
    <t>Modificado</t>
  </si>
  <si>
    <t>Ampliaciones/ (Reducciones)</t>
  </si>
  <si>
    <t>Aprobado</t>
  </si>
  <si>
    <t>Descripción</t>
  </si>
  <si>
    <t>ESPECIFICA</t>
  </si>
  <si>
    <t>GENERICA</t>
  </si>
  <si>
    <t>Subejercicio</t>
  </si>
  <si>
    <t>Egresos</t>
  </si>
  <si>
    <t>PARTIDA</t>
  </si>
  <si>
    <t>CONCEPTO</t>
  </si>
  <si>
    <t>CAPITULO</t>
  </si>
  <si>
    <t>Del 1 de enero al 31 de diciembre de 2018</t>
  </si>
  <si>
    <t>Clasificación por Objeto del Gasto (Partida Específica)</t>
  </si>
  <si>
    <t>Estado Analítico del Ejercicio del Presupuesto de Egresos</t>
  </si>
  <si>
    <t>Poder Judicial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</si>
</sst>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  <numFmt numFmtId="165" formatCode="#,##0.00_ ;[Red]\-#,##0.00\ "/>
    <numFmt numFmtId="166" formatCode="#,##0.0_ ;[Red]\-#,##0.0\ "/>
    <numFmt numFmtId="167" formatCode="General_)"/>
    <numFmt numFmtId="168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82C2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7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>
      <alignment vertical="top"/>
    </xf>
    <xf numFmtId="0" fontId="1" fillId="0" borderId="0"/>
  </cellStyleXfs>
  <cellXfs count="78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Fill="1" applyAlignment="1">
      <alignment vertical="top"/>
    </xf>
    <xf numFmtId="40" fontId="0" fillId="0" borderId="1" xfId="0" applyNumberFormat="1" applyFont="1" applyBorder="1" applyAlignment="1" applyProtection="1">
      <alignment vertical="top"/>
      <protection locked="0"/>
    </xf>
    <xf numFmtId="164" fontId="0" fillId="0" borderId="2" xfId="0" applyNumberFormat="1" applyFont="1" applyBorder="1" applyAlignment="1" applyProtection="1">
      <alignment horizontal="left" vertical="top"/>
      <protection locked="0"/>
    </xf>
    <xf numFmtId="164" fontId="0" fillId="0" borderId="3" xfId="0" applyNumberFormat="1" applyFont="1" applyBorder="1" applyAlignment="1" applyProtection="1">
      <alignment horizontal="right" vertical="top"/>
      <protection locked="0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4" xfId="0" applyFont="1" applyFill="1" applyBorder="1" applyAlignment="1">
      <alignment horizontal="center"/>
    </xf>
    <xf numFmtId="40" fontId="3" fillId="0" borderId="5" xfId="0" applyNumberFormat="1" applyFont="1" applyFill="1" applyBorder="1" applyAlignment="1" applyProtection="1">
      <alignment vertical="top"/>
      <protection locked="0"/>
    </xf>
    <xf numFmtId="40" fontId="0" fillId="0" borderId="6" xfId="0" applyNumberFormat="1" applyFont="1" applyFill="1" applyBorder="1" applyAlignment="1" applyProtection="1">
      <alignment vertical="top"/>
      <protection locked="0"/>
    </xf>
    <xf numFmtId="164" fontId="0" fillId="0" borderId="7" xfId="0" applyNumberFormat="1" applyFont="1" applyBorder="1" applyAlignment="1" applyProtection="1">
      <alignment horizontal="left" vertical="top" wrapText="1"/>
      <protection locked="0"/>
    </xf>
    <xf numFmtId="164" fontId="0" fillId="0" borderId="8" xfId="0" applyNumberFormat="1" applyFont="1" applyBorder="1" applyAlignment="1" applyProtection="1">
      <alignment horizontal="right" vertical="top"/>
      <protection locked="0"/>
    </xf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/>
    <xf numFmtId="0" fontId="0" fillId="0" borderId="9" xfId="0" applyFont="1" applyFill="1" applyBorder="1" applyAlignment="1">
      <alignment horizontal="center"/>
    </xf>
    <xf numFmtId="40" fontId="0" fillId="2" borderId="5" xfId="0" applyNumberFormat="1" applyFont="1" applyFill="1" applyBorder="1" applyAlignment="1" applyProtection="1">
      <alignment vertical="top"/>
      <protection locked="0"/>
    </xf>
    <xf numFmtId="0" fontId="0" fillId="2" borderId="10" xfId="0" applyFont="1" applyFill="1" applyBorder="1" applyAlignment="1">
      <alignment vertical="top"/>
    </xf>
    <xf numFmtId="0" fontId="0" fillId="2" borderId="11" xfId="0" applyFont="1" applyFill="1" applyBorder="1" applyAlignment="1"/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40" fontId="3" fillId="3" borderId="5" xfId="0" applyNumberFormat="1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>
      <alignment vertical="top"/>
    </xf>
    <xf numFmtId="0" fontId="3" fillId="3" borderId="14" xfId="0" applyFont="1" applyFill="1" applyBorder="1" applyAlignment="1"/>
    <xf numFmtId="0" fontId="3" fillId="3" borderId="11" xfId="0" applyFont="1" applyFill="1" applyBorder="1" applyAlignment="1"/>
    <xf numFmtId="0" fontId="3" fillId="3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/>
    </xf>
    <xf numFmtId="0" fontId="3" fillId="0" borderId="14" xfId="0" applyFont="1" applyFill="1" applyBorder="1" applyAlignment="1"/>
    <xf numFmtId="0" fontId="3" fillId="0" borderId="11" xfId="0" applyFont="1" applyFill="1" applyBorder="1" applyAlignment="1"/>
    <xf numFmtId="0" fontId="3" fillId="0" borderId="13" xfId="0" applyFont="1" applyFill="1" applyBorder="1" applyAlignment="1">
      <alignment horizontal="center"/>
    </xf>
    <xf numFmtId="40" fontId="3" fillId="0" borderId="6" xfId="0" applyNumberFormat="1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  <protection locked="0"/>
    </xf>
    <xf numFmtId="0" fontId="0" fillId="2" borderId="12" xfId="0" applyFont="1" applyFill="1" applyBorder="1" applyAlignment="1">
      <alignment horizontal="left"/>
    </xf>
    <xf numFmtId="164" fontId="0" fillId="0" borderId="11" xfId="0" applyNumberFormat="1" applyFont="1" applyBorder="1" applyAlignment="1" applyProtection="1">
      <alignment horizontal="left" vertical="top" wrapText="1"/>
      <protection locked="0"/>
    </xf>
    <xf numFmtId="164" fontId="0" fillId="0" borderId="12" xfId="0" applyNumberFormat="1" applyFont="1" applyBorder="1" applyAlignment="1" applyProtection="1">
      <alignment horizontal="right" vertical="top"/>
      <protection locked="0"/>
    </xf>
    <xf numFmtId="0" fontId="0" fillId="0" borderId="12" xfId="0" applyFont="1" applyFill="1" applyBorder="1" applyAlignment="1"/>
    <xf numFmtId="164" fontId="0" fillId="0" borderId="11" xfId="0" applyNumberFormat="1" applyFont="1" applyBorder="1" applyAlignment="1" applyProtection="1">
      <alignment vertical="top" wrapText="1"/>
      <protection locked="0"/>
    </xf>
    <xf numFmtId="164" fontId="0" fillId="0" borderId="11" xfId="0" applyNumberFormat="1" applyFont="1" applyBorder="1" applyAlignment="1" applyProtection="1">
      <alignment horizontal="right" vertical="top"/>
      <protection locked="0"/>
    </xf>
    <xf numFmtId="164" fontId="0" fillId="0" borderId="14" xfId="0" applyNumberFormat="1" applyFont="1" applyBorder="1" applyAlignment="1" applyProtection="1">
      <alignment horizontal="left" vertical="top" wrapText="1"/>
      <protection locked="0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/>
    <xf numFmtId="166" fontId="0" fillId="0" borderId="0" xfId="0" applyNumberFormat="1" applyFont="1" applyFill="1" applyAlignment="1">
      <alignment vertical="top"/>
    </xf>
    <xf numFmtId="40" fontId="0" fillId="0" borderId="0" xfId="0" applyNumberFormat="1" applyFont="1" applyFill="1" applyAlignment="1">
      <alignment vertical="top"/>
    </xf>
    <xf numFmtId="49" fontId="5" fillId="0" borderId="0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vertical="center" wrapText="1" shrinkToFit="1"/>
    </xf>
    <xf numFmtId="40" fontId="0" fillId="0" borderId="5" xfId="0" applyNumberFormat="1" applyFont="1" applyBorder="1" applyAlignment="1" applyProtection="1">
      <alignment vertical="top"/>
      <protection locked="0"/>
    </xf>
    <xf numFmtId="164" fontId="0" fillId="0" borderId="15" xfId="0" applyNumberFormat="1" applyFont="1" applyBorder="1" applyAlignment="1" applyProtection="1">
      <alignment horizontal="left" vertical="top" wrapText="1"/>
      <protection locked="0"/>
    </xf>
    <xf numFmtId="164" fontId="0" fillId="0" borderId="16" xfId="0" applyNumberFormat="1" applyFont="1" applyBorder="1" applyAlignment="1" applyProtection="1">
      <alignment horizontal="right" vertical="top"/>
      <protection locked="0"/>
    </xf>
    <xf numFmtId="40" fontId="0" fillId="0" borderId="17" xfId="0" applyNumberFormat="1" applyFont="1" applyFill="1" applyBorder="1" applyAlignment="1" applyProtection="1">
      <alignment vertical="top"/>
      <protection locked="0"/>
    </xf>
    <xf numFmtId="164" fontId="0" fillId="0" borderId="18" xfId="0" applyNumberFormat="1" applyFont="1" applyFill="1" applyBorder="1" applyAlignment="1" applyProtection="1">
      <alignment horizontal="left" vertical="top"/>
      <protection locked="0"/>
    </xf>
    <xf numFmtId="164" fontId="0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/>
    <xf numFmtId="0" fontId="0" fillId="0" borderId="15" xfId="0" applyFont="1" applyFill="1" applyBorder="1" applyAlignment="1"/>
    <xf numFmtId="0" fontId="0" fillId="0" borderId="19" xfId="0" applyFont="1" applyFill="1" applyBorder="1" applyAlignment="1">
      <alignment horizontal="center"/>
    </xf>
    <xf numFmtId="40" fontId="3" fillId="2" borderId="5" xfId="0" applyNumberFormat="1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>
      <alignment vertical="top"/>
    </xf>
    <xf numFmtId="0" fontId="3" fillId="2" borderId="14" xfId="0" applyFont="1" applyFill="1" applyBorder="1" applyAlignment="1"/>
    <xf numFmtId="0" fontId="3" fillId="2" borderId="11" xfId="0" applyFont="1" applyFill="1" applyBorder="1" applyAlignment="1"/>
    <xf numFmtId="0" fontId="3" fillId="2" borderId="13" xfId="0" applyFont="1" applyFill="1" applyBorder="1" applyAlignment="1">
      <alignment horizontal="center"/>
    </xf>
    <xf numFmtId="40" fontId="0" fillId="0" borderId="17" xfId="0" applyNumberFormat="1" applyFont="1" applyBorder="1" applyAlignment="1" applyProtection="1">
      <alignment vertical="top"/>
      <protection locked="0"/>
    </xf>
    <xf numFmtId="164" fontId="0" fillId="0" borderId="15" xfId="0" applyNumberFormat="1" applyFont="1" applyBorder="1" applyAlignment="1" applyProtection="1">
      <alignment horizontal="left" vertical="top"/>
      <protection locked="0"/>
    </xf>
    <xf numFmtId="164" fontId="0" fillId="0" borderId="16" xfId="0" applyNumberFormat="1" applyFont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/>
    <xf numFmtId="0" fontId="6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2" fillId="4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6" fillId="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291</xdr:row>
      <xdr:rowOff>9525</xdr:rowOff>
    </xdr:from>
    <xdr:to>
      <xdr:col>10</xdr:col>
      <xdr:colOff>790575</xdr:colOff>
      <xdr:row>295</xdr:row>
      <xdr:rowOff>142875</xdr:rowOff>
    </xdr:to>
    <xdr:sp macro="" textlink="">
      <xdr:nvSpPr>
        <xdr:cNvPr id="2" name="1 CuadroTexto"/>
        <xdr:cNvSpPr txBox="1"/>
      </xdr:nvSpPr>
      <xdr:spPr>
        <a:xfrm>
          <a:off x="6124575" y="5544502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4</xdr:col>
      <xdr:colOff>685799</xdr:colOff>
      <xdr:row>290</xdr:row>
      <xdr:rowOff>161925</xdr:rowOff>
    </xdr:from>
    <xdr:to>
      <xdr:col>6</xdr:col>
      <xdr:colOff>742949</xdr:colOff>
      <xdr:row>296</xdr:row>
      <xdr:rowOff>38100</xdr:rowOff>
    </xdr:to>
    <xdr:sp macro="" textlink="">
      <xdr:nvSpPr>
        <xdr:cNvPr id="3" name="2 CuadroTexto"/>
        <xdr:cNvSpPr txBox="1"/>
      </xdr:nvSpPr>
      <xdr:spPr>
        <a:xfrm>
          <a:off x="3733799" y="55406925"/>
          <a:ext cx="158115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290</xdr:row>
      <xdr:rowOff>152400</xdr:rowOff>
    </xdr:from>
    <xdr:to>
      <xdr:col>3</xdr:col>
      <xdr:colOff>590550</xdr:colOff>
      <xdr:row>296</xdr:row>
      <xdr:rowOff>38100</xdr:rowOff>
    </xdr:to>
    <xdr:sp macro="" textlink="">
      <xdr:nvSpPr>
        <xdr:cNvPr id="4" name="3 CuadroTexto"/>
        <xdr:cNvSpPr txBox="1"/>
      </xdr:nvSpPr>
      <xdr:spPr>
        <a:xfrm>
          <a:off x="0" y="55397400"/>
          <a:ext cx="28765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286"/>
  <sheetViews>
    <sheetView tabSelected="1" zoomScaleNormal="100" workbookViewId="0">
      <selection sqref="A1:K1"/>
    </sheetView>
  </sheetViews>
  <sheetFormatPr baseColWidth="10" defaultRowHeight="15" x14ac:dyDescent="0.25"/>
  <cols>
    <col min="1" max="2" width="11.42578125" style="1" customWidth="1"/>
    <col min="3" max="3" width="9.85546875" style="1" customWidth="1"/>
    <col min="4" max="4" width="11.42578125" style="1" customWidth="1"/>
    <col min="5" max="5" width="37.85546875" style="3" customWidth="1"/>
    <col min="6" max="6" width="13.7109375" style="1" customWidth="1"/>
    <col min="7" max="7" width="14.140625" style="1" customWidth="1"/>
    <col min="8" max="8" width="15.140625" style="1" customWidth="1"/>
    <col min="9" max="9" width="13.7109375" style="1" customWidth="1"/>
    <col min="10" max="10" width="13.7109375" style="1" bestFit="1" customWidth="1"/>
    <col min="11" max="11" width="14" style="1" customWidth="1"/>
    <col min="12" max="12" width="12.140625" style="2" bestFit="1" customWidth="1"/>
    <col min="13" max="16384" width="11.42578125" style="1"/>
  </cols>
  <sheetData>
    <row r="1" spans="1:12" ht="15.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15.75" customHeight="1" x14ac:dyDescent="0.25">
      <c r="A2" s="76" t="s">
        <v>237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ht="15.75" customHeight="1" x14ac:dyDescent="0.25">
      <c r="A3" s="76" t="s">
        <v>236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2" ht="15.75" customHeight="1" x14ac:dyDescent="0.25">
      <c r="A4" s="76" t="s">
        <v>235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ht="15.75" customHeight="1" x14ac:dyDescent="0.25">
      <c r="A5" s="76" t="s">
        <v>234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2" ht="6.75" customHeight="1" x14ac:dyDescent="0.25">
      <c r="D6" s="74"/>
      <c r="E6" s="75"/>
      <c r="F6" s="74"/>
    </row>
    <row r="7" spans="1:12" ht="24.75" customHeight="1" x14ac:dyDescent="0.25">
      <c r="A7" s="73" t="s">
        <v>233</v>
      </c>
      <c r="B7" s="73" t="s">
        <v>232</v>
      </c>
      <c r="C7" s="73" t="s">
        <v>231</v>
      </c>
      <c r="D7" s="73"/>
      <c r="E7" s="73"/>
      <c r="F7" s="69" t="s">
        <v>230</v>
      </c>
      <c r="G7" s="69"/>
      <c r="H7" s="69"/>
      <c r="I7" s="69"/>
      <c r="J7" s="69"/>
      <c r="K7" s="69" t="s">
        <v>229</v>
      </c>
    </row>
    <row r="8" spans="1:12" ht="28.5" customHeight="1" x14ac:dyDescent="0.25">
      <c r="A8" s="73"/>
      <c r="B8" s="73"/>
      <c r="C8" s="72" t="s">
        <v>228</v>
      </c>
      <c r="D8" s="72" t="s">
        <v>227</v>
      </c>
      <c r="E8" s="71" t="s">
        <v>226</v>
      </c>
      <c r="F8" s="70" t="s">
        <v>225</v>
      </c>
      <c r="G8" s="70" t="s">
        <v>224</v>
      </c>
      <c r="H8" s="70" t="s">
        <v>223</v>
      </c>
      <c r="I8" s="70" t="s">
        <v>222</v>
      </c>
      <c r="J8" s="70" t="s">
        <v>221</v>
      </c>
      <c r="K8" s="69"/>
    </row>
    <row r="9" spans="1:12" s="4" customFormat="1" x14ac:dyDescent="0.25">
      <c r="A9" s="59"/>
      <c r="B9" s="68"/>
      <c r="C9" s="68"/>
      <c r="D9" s="67"/>
      <c r="E9" s="66"/>
      <c r="F9" s="65"/>
      <c r="G9" s="65"/>
      <c r="H9" s="65"/>
      <c r="I9" s="65"/>
      <c r="J9" s="65"/>
      <c r="K9" s="65"/>
      <c r="L9" s="5"/>
    </row>
    <row r="10" spans="1:12" s="4" customFormat="1" ht="15" customHeight="1" x14ac:dyDescent="0.25">
      <c r="A10" s="64" t="s">
        <v>220</v>
      </c>
      <c r="B10" s="63"/>
      <c r="C10" s="62"/>
      <c r="D10" s="62"/>
      <c r="E10" s="61"/>
      <c r="F10" s="60">
        <f>SUM(F12,F66,F138,F237,F245,F277,F282)</f>
        <v>964835919.35000014</v>
      </c>
      <c r="G10" s="60">
        <f>SUM(G12,G66,G138,G237,G245,G277,G282)</f>
        <v>35280936.009999998</v>
      </c>
      <c r="H10" s="60">
        <f>SUM(H12,H66,H138,H237,H245,H277,H282)</f>
        <v>1000116855.36</v>
      </c>
      <c r="I10" s="60">
        <f>SUM(I12,I66,I138,I237,I245,I277,I282)</f>
        <v>983874515.03000021</v>
      </c>
      <c r="J10" s="60">
        <f>SUM(J12,J66,J138,J237,J245,J277,J282)</f>
        <v>894788453.15999985</v>
      </c>
      <c r="K10" s="60">
        <f>SUM(K12,K66,K138,K237,K245,K277,K282)</f>
        <v>16242340.329999996</v>
      </c>
      <c r="L10" s="5"/>
    </row>
    <row r="11" spans="1:12" s="4" customFormat="1" x14ac:dyDescent="0.25">
      <c r="A11" s="59"/>
      <c r="B11" s="58"/>
      <c r="C11" s="57"/>
      <c r="D11" s="56"/>
      <c r="E11" s="55"/>
      <c r="G11" s="54"/>
      <c r="K11" s="54"/>
      <c r="L11" s="5"/>
    </row>
    <row r="12" spans="1:12" s="4" customFormat="1" ht="15" customHeight="1" x14ac:dyDescent="0.25">
      <c r="A12" s="32">
        <v>10000</v>
      </c>
      <c r="B12" s="31" t="s">
        <v>219</v>
      </c>
      <c r="C12" s="30"/>
      <c r="D12" s="30"/>
      <c r="E12" s="29"/>
      <c r="F12" s="12">
        <f>SUM(F13,F18,F23,F34,F43,F62)</f>
        <v>902166796.09000015</v>
      </c>
      <c r="G12" s="12">
        <f>SUM(G13,G18,G23,G34,G43,G62)</f>
        <v>28201874.350000001</v>
      </c>
      <c r="H12" s="12">
        <f>SUM(H13,H18,H23,H34,H43,H62)</f>
        <v>930368670.43999994</v>
      </c>
      <c r="I12" s="12">
        <f>SUM(I13,I18,I23,I34,I43,I62)</f>
        <v>919851716.00000012</v>
      </c>
      <c r="J12" s="12">
        <f>SUM(J13,J18,J23,J34,J43,J62)</f>
        <v>838569683.57999992</v>
      </c>
      <c r="K12" s="12">
        <f>SUM(K13,K18,K23,K34,K43,K62)</f>
        <v>10516954.439999996</v>
      </c>
      <c r="L12" s="5"/>
    </row>
    <row r="13" spans="1:12" s="4" customFormat="1" x14ac:dyDescent="0.25">
      <c r="A13" s="23"/>
      <c r="B13" s="28">
        <v>11000</v>
      </c>
      <c r="C13" s="27" t="s">
        <v>218</v>
      </c>
      <c r="D13" s="26"/>
      <c r="E13" s="25"/>
      <c r="F13" s="24">
        <f>SUM(F14,F16)</f>
        <v>363812585.72000003</v>
      </c>
      <c r="G13" s="24">
        <f>SUM(G14,G16)</f>
        <v>9183513.6600000001</v>
      </c>
      <c r="H13" s="24">
        <f>SUM(H14,H16)</f>
        <v>372996099.38</v>
      </c>
      <c r="I13" s="24">
        <f>SUM(I14,I16)</f>
        <v>370849442.19</v>
      </c>
      <c r="J13" s="24">
        <f>SUM(J14,J16)</f>
        <v>359603445.08999997</v>
      </c>
      <c r="K13" s="24">
        <f>SUM(K14,K16)</f>
        <v>2146657.1900000274</v>
      </c>
      <c r="L13" s="5"/>
    </row>
    <row r="14" spans="1:12" s="4" customFormat="1" x14ac:dyDescent="0.25">
      <c r="A14" s="23"/>
      <c r="B14" s="22"/>
      <c r="C14" s="35">
        <v>11100</v>
      </c>
      <c r="D14" s="21" t="s">
        <v>217</v>
      </c>
      <c r="E14" s="20"/>
      <c r="F14" s="19">
        <f>SUM(F15)</f>
        <v>121912979.84999999</v>
      </c>
      <c r="G14" s="19">
        <f>SUM(G15)</f>
        <v>-4970702.3600000003</v>
      </c>
      <c r="H14" s="19">
        <f>SUM(H15)</f>
        <v>116942277.48999999</v>
      </c>
      <c r="I14" s="19">
        <f>SUM(I15)</f>
        <v>116942277.48999999</v>
      </c>
      <c r="J14" s="19">
        <f>SUM(J15)</f>
        <v>106752920.13000001</v>
      </c>
      <c r="K14" s="19">
        <f>SUM(K15)</f>
        <v>0</v>
      </c>
      <c r="L14" s="5"/>
    </row>
    <row r="15" spans="1:12" s="4" customFormat="1" x14ac:dyDescent="0.25">
      <c r="A15" s="23"/>
      <c r="B15" s="38"/>
      <c r="C15" s="22"/>
      <c r="D15" s="37">
        <v>11101</v>
      </c>
      <c r="E15" s="36" t="s">
        <v>216</v>
      </c>
      <c r="F15" s="34">
        <v>121912979.84999999</v>
      </c>
      <c r="G15" s="34">
        <v>-4970702.3600000003</v>
      </c>
      <c r="H15" s="34">
        <f>F15+G15</f>
        <v>116942277.48999999</v>
      </c>
      <c r="I15" s="34">
        <f>117202745.28-260467.79</f>
        <v>116942277.48999999</v>
      </c>
      <c r="J15" s="34">
        <f>117202745.28-347002.28-1911051.74-1269989.14-6921781.99</f>
        <v>106752920.13000001</v>
      </c>
      <c r="K15" s="12">
        <f>H15-I15</f>
        <v>0</v>
      </c>
      <c r="L15" s="5"/>
    </row>
    <row r="16" spans="1:12" s="4" customFormat="1" x14ac:dyDescent="0.25">
      <c r="A16" s="23"/>
      <c r="B16" s="22"/>
      <c r="C16" s="35">
        <v>11300</v>
      </c>
      <c r="D16" s="21" t="s">
        <v>215</v>
      </c>
      <c r="E16" s="20"/>
      <c r="F16" s="19">
        <f>SUM(F17)</f>
        <v>241899605.87</v>
      </c>
      <c r="G16" s="19">
        <f>SUM(G17)</f>
        <v>14154216.02</v>
      </c>
      <c r="H16" s="19">
        <f>SUM(H17)</f>
        <v>256053821.89000002</v>
      </c>
      <c r="I16" s="19">
        <f>SUM(I17)</f>
        <v>253907164.69999999</v>
      </c>
      <c r="J16" s="19">
        <f>SUM(J17)</f>
        <v>252850524.95999998</v>
      </c>
      <c r="K16" s="19">
        <f>SUM(K17)</f>
        <v>2146657.1900000274</v>
      </c>
      <c r="L16" s="5"/>
    </row>
    <row r="17" spans="1:12" s="4" customFormat="1" x14ac:dyDescent="0.25">
      <c r="A17" s="23"/>
      <c r="B17" s="38"/>
      <c r="C17" s="22"/>
      <c r="D17" s="37">
        <v>11301</v>
      </c>
      <c r="E17" s="36" t="s">
        <v>214</v>
      </c>
      <c r="F17" s="34">
        <v>241899605.87</v>
      </c>
      <c r="G17" s="34">
        <v>14154216.02</v>
      </c>
      <c r="H17" s="34">
        <f>F17+G17</f>
        <v>256053821.89000002</v>
      </c>
      <c r="I17" s="34">
        <f>250720458.79+3186435.91+270</f>
        <v>253907164.69999999</v>
      </c>
      <c r="J17" s="34">
        <f>250720458.79-328150.97+2458217.14</f>
        <v>252850524.95999998</v>
      </c>
      <c r="K17" s="12">
        <f>H17-I17</f>
        <v>2146657.1900000274</v>
      </c>
      <c r="L17" s="5"/>
    </row>
    <row r="18" spans="1:12" s="4" customFormat="1" x14ac:dyDescent="0.25">
      <c r="A18" s="23"/>
      <c r="B18" s="28">
        <v>12000</v>
      </c>
      <c r="C18" s="27" t="s">
        <v>213</v>
      </c>
      <c r="D18" s="26"/>
      <c r="E18" s="25"/>
      <c r="F18" s="24">
        <f>SUM(F19,F21)</f>
        <v>3495844.62</v>
      </c>
      <c r="G18" s="24">
        <f>SUM(G19,G21)</f>
        <v>-99250</v>
      </c>
      <c r="H18" s="24">
        <f>SUM(H19,H21)</f>
        <v>3396594.62</v>
      </c>
      <c r="I18" s="24">
        <f>SUM(I19,I21)</f>
        <v>3396324.96</v>
      </c>
      <c r="J18" s="24">
        <f>SUM(J19,J21)</f>
        <v>3198813.2600000002</v>
      </c>
      <c r="K18" s="24">
        <f>SUM(K19,K21)</f>
        <v>269.66000000014901</v>
      </c>
      <c r="L18" s="5"/>
    </row>
    <row r="19" spans="1:12" s="4" customFormat="1" x14ac:dyDescent="0.25">
      <c r="A19" s="23"/>
      <c r="B19" s="22"/>
      <c r="C19" s="35">
        <v>12200</v>
      </c>
      <c r="D19" s="21" t="s">
        <v>212</v>
      </c>
      <c r="E19" s="20"/>
      <c r="F19" s="19">
        <f>SUM(F20)</f>
        <v>3396594.62</v>
      </c>
      <c r="G19" s="19">
        <f>SUM(G20)</f>
        <v>0</v>
      </c>
      <c r="H19" s="19">
        <f>SUM(H20)</f>
        <v>3396594.62</v>
      </c>
      <c r="I19" s="19">
        <f>SUM(I20)</f>
        <v>3396324.96</v>
      </c>
      <c r="J19" s="19">
        <f>SUM(J20)</f>
        <v>3198813.2600000002</v>
      </c>
      <c r="K19" s="19">
        <f>SUM(K20)</f>
        <v>269.66000000014901</v>
      </c>
      <c r="L19" s="5"/>
    </row>
    <row r="20" spans="1:12" s="4" customFormat="1" x14ac:dyDescent="0.25">
      <c r="A20" s="23"/>
      <c r="B20" s="38"/>
      <c r="C20" s="22"/>
      <c r="D20" s="53">
        <v>12201</v>
      </c>
      <c r="E20" s="52" t="s">
        <v>211</v>
      </c>
      <c r="F20" s="34">
        <v>3396594.62</v>
      </c>
      <c r="G20" s="34"/>
      <c r="H20" s="34">
        <f>F20+G20</f>
        <v>3396594.62</v>
      </c>
      <c r="I20" s="34">
        <f>4063573.98-666979.36-270+0.3+0.04</f>
        <v>3396324.96</v>
      </c>
      <c r="J20" s="34">
        <f>4063573.98-27918.17-10536.12-116890.77-23914.09-18522.21-666979.36</f>
        <v>3198813.2600000002</v>
      </c>
      <c r="K20" s="12">
        <f>H20-I20</f>
        <v>269.66000000014901</v>
      </c>
      <c r="L20" s="5"/>
    </row>
    <row r="21" spans="1:12" s="4" customFormat="1" x14ac:dyDescent="0.25">
      <c r="A21" s="23"/>
      <c r="B21" s="22"/>
      <c r="C21" s="35">
        <v>12300</v>
      </c>
      <c r="D21" s="21" t="s">
        <v>210</v>
      </c>
      <c r="E21" s="20"/>
      <c r="F21" s="19">
        <f>SUM(F22)</f>
        <v>99250</v>
      </c>
      <c r="G21" s="19">
        <f>SUM(G22)</f>
        <v>-99250</v>
      </c>
      <c r="H21" s="19">
        <f>SUM(H22)</f>
        <v>0</v>
      </c>
      <c r="I21" s="19">
        <f>SUM(I22)</f>
        <v>0</v>
      </c>
      <c r="J21" s="19">
        <f>SUM(J22)</f>
        <v>0</v>
      </c>
      <c r="K21" s="19">
        <f>SUM(K22)</f>
        <v>0</v>
      </c>
      <c r="L21" s="5"/>
    </row>
    <row r="22" spans="1:12" s="4" customFormat="1" ht="30" x14ac:dyDescent="0.25">
      <c r="A22" s="23"/>
      <c r="B22" s="38"/>
      <c r="C22" s="22"/>
      <c r="D22" s="37">
        <v>12301</v>
      </c>
      <c r="E22" s="36" t="s">
        <v>209</v>
      </c>
      <c r="F22" s="34">
        <v>99250</v>
      </c>
      <c r="G22" s="34">
        <v>-99250</v>
      </c>
      <c r="H22" s="34">
        <f>F22+G22</f>
        <v>0</v>
      </c>
      <c r="I22" s="34">
        <v>0</v>
      </c>
      <c r="J22" s="34">
        <v>0</v>
      </c>
      <c r="K22" s="12">
        <f>H22-I22</f>
        <v>0</v>
      </c>
      <c r="L22" s="5"/>
    </row>
    <row r="23" spans="1:12" s="4" customFormat="1" x14ac:dyDescent="0.25">
      <c r="A23" s="23"/>
      <c r="B23" s="28">
        <v>13000</v>
      </c>
      <c r="C23" s="27" t="s">
        <v>208</v>
      </c>
      <c r="D23" s="26"/>
      <c r="E23" s="25"/>
      <c r="F23" s="24">
        <f>SUM(F24,F27,F30,F32)</f>
        <v>289034299.60000002</v>
      </c>
      <c r="G23" s="24">
        <f>SUM(G24,G27,G30,G32)</f>
        <v>3095642.9</v>
      </c>
      <c r="H23" s="24">
        <f>SUM(H24,H27,H30,H32)</f>
        <v>292129942.5</v>
      </c>
      <c r="I23" s="24">
        <f>SUM(I24,I27,I30,I32)</f>
        <v>291736579.56999999</v>
      </c>
      <c r="J23" s="24">
        <f>SUM(J24,J27,J30,J32)</f>
        <v>243413184.49000001</v>
      </c>
      <c r="K23" s="24">
        <f>SUM(K24,K27,K30,K32)</f>
        <v>393362.92999997176</v>
      </c>
      <c r="L23" s="5"/>
    </row>
    <row r="24" spans="1:12" s="4" customFormat="1" x14ac:dyDescent="0.25">
      <c r="A24" s="23"/>
      <c r="B24" s="22"/>
      <c r="C24" s="35">
        <v>13100</v>
      </c>
      <c r="D24" s="21" t="s">
        <v>207</v>
      </c>
      <c r="E24" s="20"/>
      <c r="F24" s="19">
        <f>SUM(F25:F26)</f>
        <v>11479241.6</v>
      </c>
      <c r="G24" s="19">
        <f>SUM(G25:G26)</f>
        <v>83254.259999999995</v>
      </c>
      <c r="H24" s="19">
        <f>SUM(H25:H26)</f>
        <v>11562495.859999999</v>
      </c>
      <c r="I24" s="19">
        <f>SUM(I25:I26)</f>
        <v>11487289.24</v>
      </c>
      <c r="J24" s="19">
        <f>SUM(J25:J26)</f>
        <v>11382181.99</v>
      </c>
      <c r="K24" s="19">
        <f>SUM(K25:K26)</f>
        <v>75206.61999999918</v>
      </c>
      <c r="L24" s="5"/>
    </row>
    <row r="25" spans="1:12" s="4" customFormat="1" ht="30" x14ac:dyDescent="0.25">
      <c r="A25" s="23"/>
      <c r="B25" s="38"/>
      <c r="C25" s="22"/>
      <c r="D25" s="37">
        <v>13101</v>
      </c>
      <c r="E25" s="36" t="s">
        <v>206</v>
      </c>
      <c r="F25" s="34">
        <v>2546741.6</v>
      </c>
      <c r="G25" s="34">
        <v>83254.259999999995</v>
      </c>
      <c r="H25" s="34">
        <f>F25+G25</f>
        <v>2629995.86</v>
      </c>
      <c r="I25" s="34">
        <f>2632213.32-2217.46</f>
        <v>2629995.86</v>
      </c>
      <c r="J25" s="34">
        <f>2632213.32-2217.46</f>
        <v>2629995.86</v>
      </c>
      <c r="K25" s="12">
        <f>H25-I25</f>
        <v>0</v>
      </c>
      <c r="L25" s="5"/>
    </row>
    <row r="26" spans="1:12" s="4" customFormat="1" x14ac:dyDescent="0.25">
      <c r="A26" s="23"/>
      <c r="B26" s="38"/>
      <c r="C26" s="22"/>
      <c r="D26" s="37">
        <v>13102</v>
      </c>
      <c r="E26" s="36" t="s">
        <v>205</v>
      </c>
      <c r="F26" s="34">
        <v>8932500</v>
      </c>
      <c r="G26" s="34"/>
      <c r="H26" s="34">
        <f>F26+G26</f>
        <v>8932500</v>
      </c>
      <c r="I26" s="34">
        <v>8857293.3800000008</v>
      </c>
      <c r="J26" s="34">
        <f>8857293.38-105107.25</f>
        <v>8752186.1300000008</v>
      </c>
      <c r="K26" s="12">
        <f>H26-I26</f>
        <v>75206.61999999918</v>
      </c>
      <c r="L26" s="5"/>
    </row>
    <row r="27" spans="1:12" s="4" customFormat="1" x14ac:dyDescent="0.25">
      <c r="A27" s="23"/>
      <c r="B27" s="22"/>
      <c r="C27" s="35">
        <v>13200</v>
      </c>
      <c r="D27" s="21" t="s">
        <v>204</v>
      </c>
      <c r="E27" s="20"/>
      <c r="F27" s="19">
        <f>SUM(F28:F29)</f>
        <v>113462474.55000001</v>
      </c>
      <c r="G27" s="19">
        <f>SUM(G28:G29)</f>
        <v>3023858.12</v>
      </c>
      <c r="H27" s="19">
        <f>SUM(H28:H29)</f>
        <v>116486332.67</v>
      </c>
      <c r="I27" s="19">
        <f>SUM(I28:I29)</f>
        <v>116172662.51000001</v>
      </c>
      <c r="J27" s="19">
        <f>SUM(J28:J29)</f>
        <v>67992902.090000018</v>
      </c>
      <c r="K27" s="19">
        <f>SUM(K28:K29)</f>
        <v>313670.15999999642</v>
      </c>
      <c r="L27" s="5"/>
    </row>
    <row r="28" spans="1:12" s="4" customFormat="1" x14ac:dyDescent="0.25">
      <c r="A28" s="23"/>
      <c r="B28" s="38"/>
      <c r="C28" s="22"/>
      <c r="D28" s="37">
        <v>13202</v>
      </c>
      <c r="E28" s="36" t="s">
        <v>203</v>
      </c>
      <c r="F28" s="34">
        <v>28288463.600000001</v>
      </c>
      <c r="G28" s="34">
        <v>735945.98</v>
      </c>
      <c r="H28" s="34">
        <f>F28+G28</f>
        <v>29024409.580000002</v>
      </c>
      <c r="I28" s="34">
        <f>29442754.38-418344.8</f>
        <v>29024409.579999998</v>
      </c>
      <c r="J28" s="34">
        <f>29442754.38-650600.36-2615.31-3285380.11-12497.07-3468099.07-1664250.94</f>
        <v>20359311.52</v>
      </c>
      <c r="K28" s="12">
        <f>H28-I28</f>
        <v>0</v>
      </c>
      <c r="L28" s="5"/>
    </row>
    <row r="29" spans="1:12" s="4" customFormat="1" x14ac:dyDescent="0.25">
      <c r="A29" s="23"/>
      <c r="B29" s="38"/>
      <c r="C29" s="22"/>
      <c r="D29" s="37">
        <v>13203</v>
      </c>
      <c r="E29" s="36" t="s">
        <v>202</v>
      </c>
      <c r="F29" s="34">
        <v>85174010.950000003</v>
      </c>
      <c r="G29" s="34">
        <v>2287912.14</v>
      </c>
      <c r="H29" s="34">
        <f>F29+G29</f>
        <v>87461923.090000004</v>
      </c>
      <c r="I29" s="34">
        <v>87148252.930000007</v>
      </c>
      <c r="J29" s="34">
        <f>87148252.93-24594145.05-2466114.73-11633963.54-48599.81-771839.23</f>
        <v>47633590.570000015</v>
      </c>
      <c r="K29" s="12">
        <f>H29-I29</f>
        <v>313670.15999999642</v>
      </c>
      <c r="L29" s="5"/>
    </row>
    <row r="30" spans="1:12" s="4" customFormat="1" x14ac:dyDescent="0.25">
      <c r="A30" s="23"/>
      <c r="B30" s="22"/>
      <c r="C30" s="35">
        <v>13300</v>
      </c>
      <c r="D30" s="21" t="s">
        <v>201</v>
      </c>
      <c r="E30" s="20"/>
      <c r="F30" s="19">
        <f>SUM(F31)</f>
        <v>1488750</v>
      </c>
      <c r="G30" s="19">
        <f>SUM(G31)</f>
        <v>-11469.48</v>
      </c>
      <c r="H30" s="19">
        <f>SUM(H31)</f>
        <v>1477280.52</v>
      </c>
      <c r="I30" s="19">
        <f>SUM(I31)</f>
        <v>1477280.5199999998</v>
      </c>
      <c r="J30" s="19">
        <f>SUM(J31)</f>
        <v>1477280.5199999998</v>
      </c>
      <c r="K30" s="19">
        <f>SUM(K31)</f>
        <v>0</v>
      </c>
      <c r="L30" s="5"/>
    </row>
    <row r="31" spans="1:12" s="4" customFormat="1" x14ac:dyDescent="0.25">
      <c r="A31" s="23"/>
      <c r="B31" s="38"/>
      <c r="C31" s="22"/>
      <c r="D31" s="37">
        <v>13301</v>
      </c>
      <c r="E31" s="36" t="s">
        <v>200</v>
      </c>
      <c r="F31" s="34">
        <v>1488750</v>
      </c>
      <c r="G31" s="34">
        <v>-11469.48</v>
      </c>
      <c r="H31" s="34">
        <f>F31+G31</f>
        <v>1477280.52</v>
      </c>
      <c r="I31" s="34">
        <f>1521638.38-44357.86</f>
        <v>1477280.5199999998</v>
      </c>
      <c r="J31" s="34">
        <f>1521638.38-44357.86</f>
        <v>1477280.5199999998</v>
      </c>
      <c r="K31" s="12">
        <f>H31-I31</f>
        <v>0</v>
      </c>
      <c r="L31" s="5"/>
    </row>
    <row r="32" spans="1:12" s="4" customFormat="1" x14ac:dyDescent="0.25">
      <c r="A32" s="23"/>
      <c r="B32" s="22"/>
      <c r="C32" s="35">
        <v>13400</v>
      </c>
      <c r="D32" s="21" t="s">
        <v>199</v>
      </c>
      <c r="E32" s="20"/>
      <c r="F32" s="19">
        <f>SUM(F33)</f>
        <v>162603833.44999999</v>
      </c>
      <c r="G32" s="19">
        <f>SUM(G33)</f>
        <v>0</v>
      </c>
      <c r="H32" s="19">
        <f>SUM(H33)</f>
        <v>162603833.44999999</v>
      </c>
      <c r="I32" s="19">
        <f>SUM(I33)</f>
        <v>162599347.30000001</v>
      </c>
      <c r="J32" s="19">
        <f>SUM(J33)</f>
        <v>162560819.89000002</v>
      </c>
      <c r="K32" s="19">
        <f>SUM(K33)</f>
        <v>4486.1499999761581</v>
      </c>
      <c r="L32" s="5"/>
    </row>
    <row r="33" spans="1:12" s="4" customFormat="1" x14ac:dyDescent="0.25">
      <c r="A33" s="23"/>
      <c r="B33" s="38"/>
      <c r="C33" s="22"/>
      <c r="D33" s="37">
        <v>13401</v>
      </c>
      <c r="E33" s="36" t="s">
        <v>199</v>
      </c>
      <c r="F33" s="34">
        <v>162603833.44999999</v>
      </c>
      <c r="G33" s="34"/>
      <c r="H33" s="34">
        <f>F33+G33</f>
        <v>162603833.44999999</v>
      </c>
      <c r="I33" s="34">
        <f>163997172.03-1397824.73</f>
        <v>162599347.30000001</v>
      </c>
      <c r="J33" s="34">
        <f>163997172.03-38527.41-1397824.73</f>
        <v>162560819.89000002</v>
      </c>
      <c r="K33" s="12">
        <f>H33-I33</f>
        <v>4486.1499999761581</v>
      </c>
      <c r="L33" s="5"/>
    </row>
    <row r="34" spans="1:12" s="4" customFormat="1" x14ac:dyDescent="0.25">
      <c r="A34" s="23"/>
      <c r="B34" s="28">
        <v>14000</v>
      </c>
      <c r="C34" s="27" t="s">
        <v>198</v>
      </c>
      <c r="D34" s="26"/>
      <c r="E34" s="25"/>
      <c r="F34" s="24">
        <f>SUM(F35,F38)</f>
        <v>96206661.690000013</v>
      </c>
      <c r="G34" s="24">
        <f>SUM(G35,G38)</f>
        <v>8550474.9699999988</v>
      </c>
      <c r="H34" s="24">
        <f>SUM(H35,H38)</f>
        <v>104757136.66</v>
      </c>
      <c r="I34" s="24">
        <f>SUM(I35,I38)</f>
        <v>103264892.57000001</v>
      </c>
      <c r="J34" s="24">
        <f>SUM(J35,J38)</f>
        <v>83032236.61999999</v>
      </c>
      <c r="K34" s="24">
        <f>SUM(K35,K38)</f>
        <v>1492244.0900000017</v>
      </c>
      <c r="L34" s="5"/>
    </row>
    <row r="35" spans="1:12" s="4" customFormat="1" x14ac:dyDescent="0.25">
      <c r="A35" s="23"/>
      <c r="B35" s="22"/>
      <c r="C35" s="35">
        <v>14100</v>
      </c>
      <c r="D35" s="21" t="s">
        <v>197</v>
      </c>
      <c r="E35" s="20"/>
      <c r="F35" s="19">
        <f>SUM(F36:F37)</f>
        <v>78610130.74000001</v>
      </c>
      <c r="G35" s="19">
        <f>SUM(G36:G37)</f>
        <v>10573477.77</v>
      </c>
      <c r="H35" s="19">
        <f>SUM(H36:H37)</f>
        <v>89183608.50999999</v>
      </c>
      <c r="I35" s="19">
        <f>SUM(I36:I37)</f>
        <v>88141981.870000005</v>
      </c>
      <c r="J35" s="19">
        <f>SUM(J36:J37)</f>
        <v>67931032.599999994</v>
      </c>
      <c r="K35" s="19">
        <f>SUM(K36:K37)</f>
        <v>1041626.6400000006</v>
      </c>
      <c r="L35" s="5"/>
    </row>
    <row r="36" spans="1:12" s="4" customFormat="1" ht="30" x14ac:dyDescent="0.25">
      <c r="A36" s="23"/>
      <c r="B36" s="38"/>
      <c r="C36" s="22"/>
      <c r="D36" s="37">
        <v>14101</v>
      </c>
      <c r="E36" s="36" t="s">
        <v>196</v>
      </c>
      <c r="F36" s="34">
        <v>37671320.93</v>
      </c>
      <c r="G36" s="34">
        <v>2368331.44</v>
      </c>
      <c r="H36" s="34">
        <f>F36+G36</f>
        <v>40039652.369999997</v>
      </c>
      <c r="I36" s="34">
        <f>40089058.55-49406.18</f>
        <v>40039652.369999997</v>
      </c>
      <c r="J36" s="34">
        <f>40089058.55-8146117.47</f>
        <v>31942941.079999998</v>
      </c>
      <c r="K36" s="12">
        <f>H36-I36</f>
        <v>0</v>
      </c>
      <c r="L36" s="5"/>
    </row>
    <row r="37" spans="1:12" s="4" customFormat="1" ht="30" x14ac:dyDescent="0.25">
      <c r="A37" s="23"/>
      <c r="B37" s="38"/>
      <c r="C37" s="22"/>
      <c r="D37" s="37">
        <v>14102</v>
      </c>
      <c r="E37" s="36" t="s">
        <v>195</v>
      </c>
      <c r="F37" s="34">
        <v>40938809.810000002</v>
      </c>
      <c r="G37" s="34">
        <v>8205146.3300000001</v>
      </c>
      <c r="H37" s="34">
        <f>F37+G37</f>
        <v>49143956.140000001</v>
      </c>
      <c r="I37" s="34">
        <v>48102329.5</v>
      </c>
      <c r="J37" s="34">
        <f>48102329.5-8822203.07-3292034.91</f>
        <v>35988091.519999996</v>
      </c>
      <c r="K37" s="12">
        <f>H37-I37</f>
        <v>1041626.6400000006</v>
      </c>
      <c r="L37" s="5"/>
    </row>
    <row r="38" spans="1:12" s="4" customFormat="1" x14ac:dyDescent="0.25">
      <c r="A38" s="23"/>
      <c r="B38" s="22"/>
      <c r="C38" s="35">
        <v>14400</v>
      </c>
      <c r="D38" s="21" t="s">
        <v>194</v>
      </c>
      <c r="E38" s="20"/>
      <c r="F38" s="19">
        <f>SUM(F39:F42)</f>
        <v>17596530.949999999</v>
      </c>
      <c r="G38" s="19">
        <f>SUM(G39:G42)</f>
        <v>-2023002.8</v>
      </c>
      <c r="H38" s="19">
        <f>SUM(H39:H42)</f>
        <v>15573528.15</v>
      </c>
      <c r="I38" s="19">
        <f>SUM(I39:I42)</f>
        <v>15122910.699999999</v>
      </c>
      <c r="J38" s="19">
        <f>SUM(J39:J42)</f>
        <v>15101204.02</v>
      </c>
      <c r="K38" s="19">
        <f>SUM(K39:K42)</f>
        <v>450617.45000000112</v>
      </c>
      <c r="L38" s="5"/>
    </row>
    <row r="39" spans="1:12" s="4" customFormat="1" x14ac:dyDescent="0.25">
      <c r="A39" s="23"/>
      <c r="B39" s="38"/>
      <c r="C39" s="22"/>
      <c r="D39" s="37">
        <v>14401</v>
      </c>
      <c r="E39" s="36" t="s">
        <v>193</v>
      </c>
      <c r="F39" s="34">
        <v>988422.53</v>
      </c>
      <c r="G39" s="34">
        <v>-347215.42</v>
      </c>
      <c r="H39" s="34">
        <f>F39+G39</f>
        <v>641207.1100000001</v>
      </c>
      <c r="I39" s="34">
        <v>641207.11</v>
      </c>
      <c r="J39" s="34">
        <v>641207.11</v>
      </c>
      <c r="K39" s="12">
        <f>H39-I39</f>
        <v>0</v>
      </c>
      <c r="L39" s="5"/>
    </row>
    <row r="40" spans="1:12" s="4" customFormat="1" ht="30" x14ac:dyDescent="0.25">
      <c r="A40" s="23"/>
      <c r="B40" s="38"/>
      <c r="C40" s="22"/>
      <c r="D40" s="37">
        <v>14410</v>
      </c>
      <c r="E40" s="36" t="s">
        <v>192</v>
      </c>
      <c r="F40" s="34">
        <v>709833.32</v>
      </c>
      <c r="G40" s="34">
        <v>-161595.25</v>
      </c>
      <c r="H40" s="34">
        <f>F40+G40</f>
        <v>548238.06999999995</v>
      </c>
      <c r="I40" s="34">
        <v>548238.06999999995</v>
      </c>
      <c r="J40" s="34">
        <v>548238.06999999995</v>
      </c>
      <c r="K40" s="12">
        <f>H40-I40</f>
        <v>0</v>
      </c>
      <c r="L40" s="5"/>
    </row>
    <row r="41" spans="1:12" s="4" customFormat="1" ht="30" x14ac:dyDescent="0.25">
      <c r="A41" s="23"/>
      <c r="B41" s="38"/>
      <c r="C41" s="22"/>
      <c r="D41" s="37">
        <v>14411</v>
      </c>
      <c r="E41" s="36" t="s">
        <v>191</v>
      </c>
      <c r="F41" s="34">
        <v>1960327.34</v>
      </c>
      <c r="G41" s="34">
        <v>-1047615.43</v>
      </c>
      <c r="H41" s="34">
        <f>F41+G41</f>
        <v>912711.91</v>
      </c>
      <c r="I41" s="34">
        <v>912711.91</v>
      </c>
      <c r="J41" s="34">
        <v>912711.91</v>
      </c>
      <c r="K41" s="12">
        <f>H41-I41</f>
        <v>0</v>
      </c>
      <c r="L41" s="5"/>
    </row>
    <row r="42" spans="1:12" s="4" customFormat="1" ht="30" x14ac:dyDescent="0.25">
      <c r="A42" s="23"/>
      <c r="B42" s="38"/>
      <c r="C42" s="22"/>
      <c r="D42" s="37">
        <v>14412</v>
      </c>
      <c r="E42" s="36" t="s">
        <v>190</v>
      </c>
      <c r="F42" s="51">
        <v>13937947.76</v>
      </c>
      <c r="G42" s="34">
        <v>-466576.7</v>
      </c>
      <c r="H42" s="51">
        <f>F42+G42</f>
        <v>13471371.060000001</v>
      </c>
      <c r="I42" s="51">
        <v>13020753.609999999</v>
      </c>
      <c r="J42" s="51">
        <f>13020753.61-21706.68</f>
        <v>12999046.93</v>
      </c>
      <c r="K42" s="12">
        <f>H42-I42</f>
        <v>450617.45000000112</v>
      </c>
      <c r="L42" s="5"/>
    </row>
    <row r="43" spans="1:12" s="4" customFormat="1" x14ac:dyDescent="0.25">
      <c r="A43" s="23"/>
      <c r="B43" s="28">
        <v>15000</v>
      </c>
      <c r="C43" s="27" t="s">
        <v>176</v>
      </c>
      <c r="D43" s="26"/>
      <c r="E43" s="25"/>
      <c r="F43" s="24">
        <f>SUM(F44,F46,F48,F56,F58)</f>
        <v>138184598.45999998</v>
      </c>
      <c r="G43" s="24">
        <f>SUM(G44,G46,G48,G56,G58)</f>
        <v>7923299.620000001</v>
      </c>
      <c r="H43" s="24">
        <f>SUM(H44,H46,H48,H56,H58)</f>
        <v>146107898.07999995</v>
      </c>
      <c r="I43" s="24">
        <f>SUM(I44,I46,I48,I56,I58)</f>
        <v>139658030.49000001</v>
      </c>
      <c r="J43" s="24">
        <f>SUM(J44,J46,J48,J56,J58)</f>
        <v>138378357.89999998</v>
      </c>
      <c r="K43" s="24">
        <f>SUM(K44,K46,K48,K56,K58)</f>
        <v>6449867.5899999961</v>
      </c>
      <c r="L43" s="5"/>
    </row>
    <row r="44" spans="1:12" s="4" customFormat="1" x14ac:dyDescent="0.25">
      <c r="A44" s="23"/>
      <c r="B44" s="22"/>
      <c r="C44" s="35">
        <v>15200</v>
      </c>
      <c r="D44" s="21" t="s">
        <v>189</v>
      </c>
      <c r="E44" s="20"/>
      <c r="F44" s="19">
        <f>SUM(F45)</f>
        <v>99250</v>
      </c>
      <c r="G44" s="19">
        <f>SUM(G45)</f>
        <v>-99250</v>
      </c>
      <c r="H44" s="19">
        <f>SUM(H45)</f>
        <v>0</v>
      </c>
      <c r="I44" s="19">
        <f>SUM(I45)</f>
        <v>0</v>
      </c>
      <c r="J44" s="19">
        <f>SUM(J45)</f>
        <v>0</v>
      </c>
      <c r="K44" s="19">
        <f>SUM(K45)</f>
        <v>0</v>
      </c>
      <c r="L44" s="5"/>
    </row>
    <row r="45" spans="1:12" s="4" customFormat="1" x14ac:dyDescent="0.25">
      <c r="A45" s="23"/>
      <c r="B45" s="38"/>
      <c r="C45" s="22"/>
      <c r="D45" s="37">
        <v>15201</v>
      </c>
      <c r="E45" s="36" t="s">
        <v>189</v>
      </c>
      <c r="F45" s="34">
        <v>99250</v>
      </c>
      <c r="G45" s="34">
        <v>-99250</v>
      </c>
      <c r="H45" s="34">
        <f>F45+G45</f>
        <v>0</v>
      </c>
      <c r="I45" s="34"/>
      <c r="J45" s="34"/>
      <c r="K45" s="12">
        <f>H45-I45</f>
        <v>0</v>
      </c>
      <c r="L45" s="5"/>
    </row>
    <row r="46" spans="1:12" s="4" customFormat="1" x14ac:dyDescent="0.25">
      <c r="A46" s="23"/>
      <c r="B46" s="22"/>
      <c r="C46" s="35">
        <v>15300</v>
      </c>
      <c r="D46" s="21" t="s">
        <v>188</v>
      </c>
      <c r="E46" s="20"/>
      <c r="F46" s="19">
        <f>SUM(F47)</f>
        <v>431822.27</v>
      </c>
      <c r="G46" s="19">
        <f>SUM(G47)</f>
        <v>7585.27</v>
      </c>
      <c r="H46" s="19">
        <f>SUM(H47)</f>
        <v>439407.54000000004</v>
      </c>
      <c r="I46" s="19">
        <f>SUM(I47)</f>
        <v>437486.77</v>
      </c>
      <c r="J46" s="19">
        <f>SUM(J47)</f>
        <v>437486.77</v>
      </c>
      <c r="K46" s="19">
        <f>SUM(K47)</f>
        <v>1920.7700000000186</v>
      </c>
      <c r="L46" s="5"/>
    </row>
    <row r="47" spans="1:12" s="4" customFormat="1" ht="30" x14ac:dyDescent="0.25">
      <c r="A47" s="23"/>
      <c r="B47" s="38"/>
      <c r="C47" s="22"/>
      <c r="D47" s="37">
        <v>15302</v>
      </c>
      <c r="E47" s="36" t="s">
        <v>187</v>
      </c>
      <c r="F47" s="34">
        <v>431822.27</v>
      </c>
      <c r="G47" s="34">
        <v>7585.27</v>
      </c>
      <c r="H47" s="34">
        <f>F47+G47</f>
        <v>439407.54000000004</v>
      </c>
      <c r="I47" s="34">
        <v>437486.77</v>
      </c>
      <c r="J47" s="34">
        <v>437486.77</v>
      </c>
      <c r="K47" s="12">
        <f>H47-I47</f>
        <v>1920.7700000000186</v>
      </c>
      <c r="L47" s="5"/>
    </row>
    <row r="48" spans="1:12" s="4" customFormat="1" x14ac:dyDescent="0.25">
      <c r="A48" s="23"/>
      <c r="B48" s="22"/>
      <c r="C48" s="35">
        <v>15400</v>
      </c>
      <c r="D48" s="21" t="s">
        <v>186</v>
      </c>
      <c r="E48" s="20"/>
      <c r="F48" s="19">
        <f>SUM(F49:F55)</f>
        <v>130450226.19</v>
      </c>
      <c r="G48" s="19">
        <f>SUM(G49:G55)</f>
        <v>9940345.4600000009</v>
      </c>
      <c r="H48" s="19">
        <f>SUM(H49:H55)</f>
        <v>140390571.64999998</v>
      </c>
      <c r="I48" s="19">
        <f>SUM(I49:I55)</f>
        <v>135354808.44999999</v>
      </c>
      <c r="J48" s="19">
        <f>SUM(J49:J55)</f>
        <v>134958688.45999998</v>
      </c>
      <c r="K48" s="19">
        <f>SUM(K49:K55)</f>
        <v>5035763.1999999974</v>
      </c>
      <c r="L48" s="5"/>
    </row>
    <row r="49" spans="1:12" s="4" customFormat="1" x14ac:dyDescent="0.25">
      <c r="A49" s="23"/>
      <c r="B49" s="38"/>
      <c r="C49" s="22"/>
      <c r="D49" s="37">
        <v>15401</v>
      </c>
      <c r="E49" s="36" t="s">
        <v>185</v>
      </c>
      <c r="F49" s="34">
        <v>26861376.149999999</v>
      </c>
      <c r="G49" s="34">
        <v>2451226.6800000002</v>
      </c>
      <c r="H49" s="34">
        <f>F49+G49</f>
        <v>29312602.829999998</v>
      </c>
      <c r="I49" s="34">
        <v>28133306.120000001</v>
      </c>
      <c r="J49" s="34">
        <f>28133306.12-6175.66</f>
        <v>28127130.460000001</v>
      </c>
      <c r="K49" s="12">
        <f>H49-I49</f>
        <v>1179296.7099999972</v>
      </c>
      <c r="L49" s="5"/>
    </row>
    <row r="50" spans="1:12" s="4" customFormat="1" x14ac:dyDescent="0.25">
      <c r="A50" s="23"/>
      <c r="B50" s="38"/>
      <c r="C50" s="22"/>
      <c r="D50" s="37">
        <v>15402</v>
      </c>
      <c r="E50" s="36" t="s">
        <v>184</v>
      </c>
      <c r="F50" s="34">
        <v>14771060.550000001</v>
      </c>
      <c r="G50" s="34">
        <v>1321309.05</v>
      </c>
      <c r="H50" s="34">
        <f>F50+G50</f>
        <v>16092369.600000001</v>
      </c>
      <c r="I50" s="34">
        <v>15457614.48</v>
      </c>
      <c r="J50" s="34">
        <f>15457614.48-3354.48</f>
        <v>15454260</v>
      </c>
      <c r="K50" s="12">
        <f>H50-I50</f>
        <v>634755.12000000104</v>
      </c>
      <c r="L50" s="5"/>
    </row>
    <row r="51" spans="1:12" s="4" customFormat="1" x14ac:dyDescent="0.25">
      <c r="A51" s="23"/>
      <c r="B51" s="38"/>
      <c r="C51" s="22"/>
      <c r="D51" s="37">
        <v>15403</v>
      </c>
      <c r="E51" s="36" t="s">
        <v>183</v>
      </c>
      <c r="F51" s="34">
        <v>56727967.869999997</v>
      </c>
      <c r="G51" s="34">
        <v>3774870.43</v>
      </c>
      <c r="H51" s="34">
        <f>F51+G51</f>
        <v>60502838.299999997</v>
      </c>
      <c r="I51" s="34">
        <v>57986088.259999998</v>
      </c>
      <c r="J51" s="34">
        <f>57986088.26-10668.65</f>
        <v>57975419.609999999</v>
      </c>
      <c r="K51" s="12">
        <f>H51-I51</f>
        <v>2516750.0399999991</v>
      </c>
      <c r="L51" s="5"/>
    </row>
    <row r="52" spans="1:12" s="4" customFormat="1" x14ac:dyDescent="0.25">
      <c r="A52" s="23"/>
      <c r="B52" s="38"/>
      <c r="C52" s="22"/>
      <c r="D52" s="37">
        <v>15404</v>
      </c>
      <c r="E52" s="36" t="s">
        <v>182</v>
      </c>
      <c r="F52" s="34">
        <v>13500438.689999999</v>
      </c>
      <c r="G52" s="34">
        <v>-280739.14</v>
      </c>
      <c r="H52" s="34">
        <f>F52+G52</f>
        <v>13219699.549999999</v>
      </c>
      <c r="I52" s="34">
        <f>13566537.28-346837.73</f>
        <v>13219699.549999999</v>
      </c>
      <c r="J52" s="34">
        <f>13566537.28-346837.73</f>
        <v>13219699.549999999</v>
      </c>
      <c r="K52" s="12">
        <f>H52-I52</f>
        <v>0</v>
      </c>
      <c r="L52" s="5"/>
    </row>
    <row r="53" spans="1:12" s="4" customFormat="1" x14ac:dyDescent="0.25">
      <c r="A53" s="23"/>
      <c r="B53" s="38"/>
      <c r="C53" s="22"/>
      <c r="D53" s="37">
        <v>15405</v>
      </c>
      <c r="E53" s="36" t="s">
        <v>181</v>
      </c>
      <c r="F53" s="34">
        <v>6110756.25</v>
      </c>
      <c r="G53" s="34">
        <v>-268523.15999999997</v>
      </c>
      <c r="H53" s="34">
        <f>F53+G53</f>
        <v>5842233.0899999999</v>
      </c>
      <c r="I53" s="34">
        <v>5842233.0899999999</v>
      </c>
      <c r="J53" s="34">
        <v>5842233.0899999999</v>
      </c>
      <c r="K53" s="12">
        <f>H53-I53</f>
        <v>0</v>
      </c>
      <c r="L53" s="5"/>
    </row>
    <row r="54" spans="1:12" s="4" customFormat="1" x14ac:dyDescent="0.25">
      <c r="A54" s="23"/>
      <c r="B54" s="38"/>
      <c r="C54" s="22"/>
      <c r="D54" s="37">
        <v>15406</v>
      </c>
      <c r="E54" s="36" t="s">
        <v>180</v>
      </c>
      <c r="F54" s="34">
        <v>10429435.25</v>
      </c>
      <c r="G54" s="34">
        <v>908269.4</v>
      </c>
      <c r="H54" s="34">
        <f>F54+G54</f>
        <v>11337704.65</v>
      </c>
      <c r="I54" s="34">
        <v>10862750.92</v>
      </c>
      <c r="J54" s="34">
        <f>10862750.92-3092.21</f>
        <v>10859658.709999999</v>
      </c>
      <c r="K54" s="12">
        <f>H54-I54</f>
        <v>474953.73000000045</v>
      </c>
      <c r="L54" s="5"/>
    </row>
    <row r="55" spans="1:12" s="4" customFormat="1" x14ac:dyDescent="0.25">
      <c r="A55" s="23"/>
      <c r="B55" s="38"/>
      <c r="C55" s="22"/>
      <c r="D55" s="37">
        <v>15412</v>
      </c>
      <c r="E55" s="36" t="s">
        <v>179</v>
      </c>
      <c r="F55" s="34">
        <v>2049191.43</v>
      </c>
      <c r="G55" s="34">
        <v>2033932.2</v>
      </c>
      <c r="H55" s="34">
        <f>F55+G55</f>
        <v>4083123.63</v>
      </c>
      <c r="I55" s="34">
        <v>3853116.03</v>
      </c>
      <c r="J55" s="34">
        <f>3853116.03-372828.99</f>
        <v>3480287.04</v>
      </c>
      <c r="K55" s="12">
        <f>H55-I55</f>
        <v>230007.60000000009</v>
      </c>
      <c r="L55" s="5"/>
    </row>
    <row r="56" spans="1:12" s="4" customFormat="1" x14ac:dyDescent="0.25">
      <c r="A56" s="23"/>
      <c r="B56" s="22"/>
      <c r="C56" s="35">
        <v>15500</v>
      </c>
      <c r="D56" s="21" t="s">
        <v>178</v>
      </c>
      <c r="E56" s="20"/>
      <c r="F56" s="19">
        <f>SUM(F57)</f>
        <v>99250</v>
      </c>
      <c r="G56" s="19">
        <f>SUM(G57)</f>
        <v>-99250</v>
      </c>
      <c r="H56" s="19">
        <f>SUM(H57)</f>
        <v>0</v>
      </c>
      <c r="I56" s="19">
        <f>SUM(I57)</f>
        <v>0</v>
      </c>
      <c r="J56" s="19">
        <f>SUM(J57)</f>
        <v>0</v>
      </c>
      <c r="K56" s="19">
        <f>SUM(K57)</f>
        <v>0</v>
      </c>
      <c r="L56" s="5"/>
    </row>
    <row r="57" spans="1:12" s="4" customFormat="1" x14ac:dyDescent="0.25">
      <c r="A57" s="23"/>
      <c r="B57" s="38"/>
      <c r="C57" s="22"/>
      <c r="D57" s="37">
        <v>15501</v>
      </c>
      <c r="E57" s="36" t="s">
        <v>177</v>
      </c>
      <c r="F57" s="34">
        <v>99250</v>
      </c>
      <c r="G57" s="34">
        <v>-99250</v>
      </c>
      <c r="H57" s="34">
        <f>F57+G57</f>
        <v>0</v>
      </c>
      <c r="I57" s="34"/>
      <c r="J57" s="34"/>
      <c r="K57" s="12">
        <f>H57-I57</f>
        <v>0</v>
      </c>
      <c r="L57" s="5"/>
    </row>
    <row r="58" spans="1:12" s="4" customFormat="1" x14ac:dyDescent="0.25">
      <c r="A58" s="23"/>
      <c r="B58" s="22"/>
      <c r="C58" s="35">
        <v>15900</v>
      </c>
      <c r="D58" s="21" t="s">
        <v>176</v>
      </c>
      <c r="E58" s="20"/>
      <c r="F58" s="19">
        <f>SUM(F59:F61)</f>
        <v>7104050</v>
      </c>
      <c r="G58" s="19">
        <f>SUM(G59:G61)</f>
        <v>-1826131.1099999999</v>
      </c>
      <c r="H58" s="19">
        <f>SUM(H59:H61)</f>
        <v>5277918.8899999997</v>
      </c>
      <c r="I58" s="19">
        <f>SUM(I59:I61)</f>
        <v>3865735.27</v>
      </c>
      <c r="J58" s="19">
        <f>SUM(J59:J61)</f>
        <v>2982182.6700000004</v>
      </c>
      <c r="K58" s="19">
        <f>SUM(K59:K61)</f>
        <v>1412183.6199999996</v>
      </c>
      <c r="L58" s="5"/>
    </row>
    <row r="59" spans="1:12" s="4" customFormat="1" x14ac:dyDescent="0.25">
      <c r="A59" s="23"/>
      <c r="B59" s="38"/>
      <c r="C59" s="22"/>
      <c r="D59" s="50">
        <v>15901</v>
      </c>
      <c r="E59" s="49" t="s">
        <v>175</v>
      </c>
      <c r="F59" s="34">
        <v>1488000</v>
      </c>
      <c r="G59" s="34">
        <f>21200-21200</f>
        <v>0</v>
      </c>
      <c r="H59" s="34">
        <f>F59+G59</f>
        <v>1488000</v>
      </c>
      <c r="I59" s="34">
        <v>754600</v>
      </c>
      <c r="J59" s="34">
        <f>754600-754600</f>
        <v>0</v>
      </c>
      <c r="K59" s="12">
        <f>H59-I59</f>
        <v>733400</v>
      </c>
      <c r="L59" s="5"/>
    </row>
    <row r="60" spans="1:12" s="4" customFormat="1" ht="30" x14ac:dyDescent="0.25">
      <c r="A60" s="23"/>
      <c r="B60" s="38"/>
      <c r="C60" s="22"/>
      <c r="D60" s="37">
        <v>15913</v>
      </c>
      <c r="E60" s="36" t="s">
        <v>174</v>
      </c>
      <c r="F60" s="34">
        <v>4961000</v>
      </c>
      <c r="G60" s="34">
        <v>-1547841.41</v>
      </c>
      <c r="H60" s="34">
        <f>F60+G60</f>
        <v>3413158.59</v>
      </c>
      <c r="I60" s="34">
        <v>2784281.95</v>
      </c>
      <c r="J60" s="34">
        <f>2784281.95-113522.46</f>
        <v>2670759.4900000002</v>
      </c>
      <c r="K60" s="12">
        <f>H60-I60</f>
        <v>628876.63999999966</v>
      </c>
      <c r="L60" s="5"/>
    </row>
    <row r="61" spans="1:12" s="4" customFormat="1" x14ac:dyDescent="0.25">
      <c r="A61" s="23"/>
      <c r="B61" s="38"/>
      <c r="C61" s="22"/>
      <c r="D61" s="37">
        <v>15914</v>
      </c>
      <c r="E61" s="36" t="s">
        <v>173</v>
      </c>
      <c r="F61" s="34">
        <v>655050</v>
      </c>
      <c r="G61" s="34">
        <v>-278289.7</v>
      </c>
      <c r="H61" s="34">
        <f>F61+G61</f>
        <v>376760.3</v>
      </c>
      <c r="I61" s="34">
        <v>326853.32</v>
      </c>
      <c r="J61" s="34">
        <f>326853.32-15430.14</f>
        <v>311423.18</v>
      </c>
      <c r="K61" s="12">
        <f>H61-I61</f>
        <v>49906.979999999981</v>
      </c>
      <c r="L61" s="5"/>
    </row>
    <row r="62" spans="1:12" s="4" customFormat="1" x14ac:dyDescent="0.25">
      <c r="A62" s="23"/>
      <c r="B62" s="28">
        <v>17000</v>
      </c>
      <c r="C62" s="27" t="s">
        <v>172</v>
      </c>
      <c r="D62" s="26"/>
      <c r="E62" s="25"/>
      <c r="F62" s="24">
        <f>SUM(F63)</f>
        <v>11432806</v>
      </c>
      <c r="G62" s="24">
        <f>SUM(G63)</f>
        <v>-451806.8</v>
      </c>
      <c r="H62" s="24">
        <f>SUM(H63)</f>
        <v>10980999.199999999</v>
      </c>
      <c r="I62" s="24">
        <f>SUM(I63)</f>
        <v>10946446.220000001</v>
      </c>
      <c r="J62" s="24">
        <f>SUM(J63)</f>
        <v>10943646.220000001</v>
      </c>
      <c r="K62" s="24">
        <f>SUM(K63)</f>
        <v>34552.979999998584</v>
      </c>
      <c r="L62" s="5"/>
    </row>
    <row r="63" spans="1:12" s="4" customFormat="1" x14ac:dyDescent="0.25">
      <c r="A63" s="23"/>
      <c r="B63" s="22"/>
      <c r="C63" s="35">
        <v>17100</v>
      </c>
      <c r="D63" s="21" t="s">
        <v>171</v>
      </c>
      <c r="E63" s="20"/>
      <c r="F63" s="19">
        <f>SUM(F64)</f>
        <v>11432806</v>
      </c>
      <c r="G63" s="19">
        <f>SUM(G64)</f>
        <v>-451806.8</v>
      </c>
      <c r="H63" s="19">
        <f>SUM(H64)</f>
        <v>10980999.199999999</v>
      </c>
      <c r="I63" s="19">
        <f>SUM(I64)</f>
        <v>10946446.220000001</v>
      </c>
      <c r="J63" s="19">
        <f>SUM(J64)</f>
        <v>10943646.220000001</v>
      </c>
      <c r="K63" s="19">
        <f>SUM(K64)</f>
        <v>34552.979999998584</v>
      </c>
      <c r="L63" s="5"/>
    </row>
    <row r="64" spans="1:12" s="4" customFormat="1" x14ac:dyDescent="0.25">
      <c r="A64" s="23"/>
      <c r="B64" s="38"/>
      <c r="C64" s="22"/>
      <c r="D64" s="37">
        <v>17101</v>
      </c>
      <c r="E64" s="36" t="s">
        <v>170</v>
      </c>
      <c r="F64" s="34">
        <v>11432806</v>
      </c>
      <c r="G64" s="34">
        <v>-451806.8</v>
      </c>
      <c r="H64" s="34">
        <f>F64+G64</f>
        <v>10980999.199999999</v>
      </c>
      <c r="I64" s="34">
        <v>10946446.220000001</v>
      </c>
      <c r="J64" s="34">
        <f>10946446.22-2800</f>
        <v>10943646.220000001</v>
      </c>
      <c r="K64" s="12">
        <f>H64-I64</f>
        <v>34552.979999998584</v>
      </c>
      <c r="L64" s="5"/>
    </row>
    <row r="65" spans="1:12" s="4" customFormat="1" x14ac:dyDescent="0.25">
      <c r="A65" s="23"/>
      <c r="B65" s="38"/>
      <c r="C65" s="22"/>
      <c r="D65" s="37"/>
      <c r="E65" s="36"/>
      <c r="F65" s="34"/>
      <c r="G65" s="34"/>
      <c r="H65" s="34"/>
      <c r="I65" s="34"/>
      <c r="J65" s="34"/>
      <c r="K65" s="12"/>
      <c r="L65" s="48"/>
    </row>
    <row r="66" spans="1:12" s="4" customFormat="1" x14ac:dyDescent="0.25">
      <c r="A66" s="32">
        <v>20000</v>
      </c>
      <c r="B66" s="31" t="s">
        <v>169</v>
      </c>
      <c r="C66" s="30"/>
      <c r="D66" s="30"/>
      <c r="E66" s="29"/>
      <c r="F66" s="12">
        <f>SUM(F67,F81,F88,F105,F112,F116,F122)</f>
        <v>17338149.460000001</v>
      </c>
      <c r="G66" s="12">
        <f>SUM(G67,G81,G88,G105,G112,G116,G122)</f>
        <v>0</v>
      </c>
      <c r="H66" s="12">
        <f>SUM(H67,H81,H88,H105,H112,H116,H122)</f>
        <v>17338149.460000001</v>
      </c>
      <c r="I66" s="12">
        <f>SUM(I67,I81,I88,I105,I112,I116,I122)</f>
        <v>15170805.960000001</v>
      </c>
      <c r="J66" s="12">
        <f>SUM(J67,J81,J88,J105,J112,J116,J122)</f>
        <v>13721146.16</v>
      </c>
      <c r="K66" s="12">
        <f>SUM(K67,K81,K88,K105,K112,K116,K122)</f>
        <v>2167343.5000000009</v>
      </c>
      <c r="L66" s="47"/>
    </row>
    <row r="67" spans="1:12" s="4" customFormat="1" x14ac:dyDescent="0.25">
      <c r="A67" s="23"/>
      <c r="B67" s="28">
        <v>21000</v>
      </c>
      <c r="C67" s="27" t="s">
        <v>168</v>
      </c>
      <c r="D67" s="26"/>
      <c r="E67" s="25"/>
      <c r="F67" s="24">
        <f>SUM(F68,F71,F73,F75,F77,F79)</f>
        <v>7526742.1799999997</v>
      </c>
      <c r="G67" s="24">
        <f>SUM(G68,G71,G73,G75,G77,G79)</f>
        <v>-133810.76</v>
      </c>
      <c r="H67" s="24">
        <f>SUM(H68,H71,H73,H75,H77,H79)</f>
        <v>7392931.4199999999</v>
      </c>
      <c r="I67" s="24">
        <f>SUM(I68,I71,I73,I75,I77,I79)</f>
        <v>6239348.7000000002</v>
      </c>
      <c r="J67" s="24">
        <f>SUM(J68,J71,J73,J75,J77,J79)</f>
        <v>5526536.7000000002</v>
      </c>
      <c r="K67" s="24">
        <f>SUM(K68,K71,K73,K75,K77,K79)</f>
        <v>1153582.7200000004</v>
      </c>
      <c r="L67" s="5"/>
    </row>
    <row r="68" spans="1:12" s="4" customFormat="1" x14ac:dyDescent="0.25">
      <c r="A68" s="23"/>
      <c r="B68" s="22"/>
      <c r="C68" s="35">
        <v>21100</v>
      </c>
      <c r="D68" s="21" t="s">
        <v>167</v>
      </c>
      <c r="E68" s="20"/>
      <c r="F68" s="19">
        <f>SUM(F69:F70)</f>
        <v>4129702.18</v>
      </c>
      <c r="G68" s="19">
        <f>SUM(G69:G70)</f>
        <v>55000</v>
      </c>
      <c r="H68" s="19">
        <f>SUM(H69:H70)</f>
        <v>4184702.18</v>
      </c>
      <c r="I68" s="19">
        <f>SUM(I69:I70)</f>
        <v>3644343.69</v>
      </c>
      <c r="J68" s="19">
        <f>SUM(J69:J70)</f>
        <v>3008691.74</v>
      </c>
      <c r="K68" s="19">
        <f>SUM(K69:K70)</f>
        <v>540358.49000000022</v>
      </c>
      <c r="L68" s="45"/>
    </row>
    <row r="69" spans="1:12" s="4" customFormat="1" x14ac:dyDescent="0.25">
      <c r="A69" s="23"/>
      <c r="B69" s="38"/>
      <c r="C69" s="22"/>
      <c r="D69" s="37">
        <v>21101</v>
      </c>
      <c r="E69" s="36" t="s">
        <v>166</v>
      </c>
      <c r="F69" s="34">
        <v>4109653.68</v>
      </c>
      <c r="G69" s="34">
        <v>50000</v>
      </c>
      <c r="H69" s="34">
        <f>F69+G69</f>
        <v>4159653.68</v>
      </c>
      <c r="I69" s="34">
        <v>3623491.23</v>
      </c>
      <c r="J69" s="34">
        <f>3623491.23-575752.45-59899.5</f>
        <v>2987839.2800000003</v>
      </c>
      <c r="K69" s="12">
        <f>H69-I69</f>
        <v>536162.45000000019</v>
      </c>
      <c r="L69" s="45"/>
    </row>
    <row r="70" spans="1:12" s="4" customFormat="1" x14ac:dyDescent="0.25">
      <c r="A70" s="23"/>
      <c r="B70" s="38"/>
      <c r="C70" s="22"/>
      <c r="D70" s="37">
        <v>21102</v>
      </c>
      <c r="E70" s="36" t="s">
        <v>165</v>
      </c>
      <c r="F70" s="34">
        <v>20048.5</v>
      </c>
      <c r="G70" s="34">
        <v>5000</v>
      </c>
      <c r="H70" s="34">
        <f>F70+G70</f>
        <v>25048.5</v>
      </c>
      <c r="I70" s="34">
        <v>20852.46</v>
      </c>
      <c r="J70" s="34">
        <v>20852.46</v>
      </c>
      <c r="K70" s="12">
        <f>H70-I70</f>
        <v>4196.0400000000009</v>
      </c>
      <c r="L70" s="45"/>
    </row>
    <row r="71" spans="1:12" s="4" customFormat="1" x14ac:dyDescent="0.25">
      <c r="A71" s="23"/>
      <c r="B71" s="22"/>
      <c r="C71" s="35">
        <v>21200</v>
      </c>
      <c r="D71" s="21" t="s">
        <v>164</v>
      </c>
      <c r="E71" s="20"/>
      <c r="F71" s="19">
        <f>SUM(F72)</f>
        <v>139942.5</v>
      </c>
      <c r="G71" s="19">
        <f>SUM(G72)</f>
        <v>44000</v>
      </c>
      <c r="H71" s="19">
        <f>SUM(H72)</f>
        <v>183942.5</v>
      </c>
      <c r="I71" s="19">
        <f>SUM(I72)</f>
        <v>109372.92</v>
      </c>
      <c r="J71" s="19">
        <f>SUM(J72)</f>
        <v>109372.92</v>
      </c>
      <c r="K71" s="19">
        <f>SUM(K72)</f>
        <v>74569.58</v>
      </c>
      <c r="L71" s="45"/>
    </row>
    <row r="72" spans="1:12" s="4" customFormat="1" ht="30" x14ac:dyDescent="0.25">
      <c r="A72" s="23"/>
      <c r="B72" s="38"/>
      <c r="C72" s="22"/>
      <c r="D72" s="37">
        <v>21201</v>
      </c>
      <c r="E72" s="36" t="s">
        <v>164</v>
      </c>
      <c r="F72" s="34">
        <v>139942.5</v>
      </c>
      <c r="G72" s="34">
        <v>44000</v>
      </c>
      <c r="H72" s="34">
        <f>F72+G72</f>
        <v>183942.5</v>
      </c>
      <c r="I72" s="34">
        <v>109372.92</v>
      </c>
      <c r="J72" s="34">
        <v>109372.92</v>
      </c>
      <c r="K72" s="12">
        <f>H72-I72</f>
        <v>74569.58</v>
      </c>
      <c r="L72" s="45"/>
    </row>
    <row r="73" spans="1:12" s="4" customFormat="1" x14ac:dyDescent="0.25">
      <c r="A73" s="23"/>
      <c r="B73" s="22"/>
      <c r="C73" s="35">
        <v>21400</v>
      </c>
      <c r="D73" s="21" t="s">
        <v>163</v>
      </c>
      <c r="E73" s="20"/>
      <c r="F73" s="19">
        <f>SUM(F74)</f>
        <v>2082000</v>
      </c>
      <c r="G73" s="19">
        <f>SUM(G74)</f>
        <v>-232810.76</v>
      </c>
      <c r="H73" s="19">
        <f>SUM(H74)</f>
        <v>1849189.24</v>
      </c>
      <c r="I73" s="19">
        <f>SUM(I74)</f>
        <v>1389704.47</v>
      </c>
      <c r="J73" s="19">
        <f>SUM(J74)</f>
        <v>1371582.33</v>
      </c>
      <c r="K73" s="19">
        <f>SUM(K74)</f>
        <v>459484.77</v>
      </c>
      <c r="L73" s="45"/>
    </row>
    <row r="74" spans="1:12" s="4" customFormat="1" ht="45" x14ac:dyDescent="0.25">
      <c r="A74" s="23"/>
      <c r="B74" s="38"/>
      <c r="C74" s="22"/>
      <c r="D74" s="37">
        <v>21401</v>
      </c>
      <c r="E74" s="36" t="s">
        <v>162</v>
      </c>
      <c r="F74" s="34">
        <v>2082000</v>
      </c>
      <c r="G74" s="34">
        <v>-232810.76</v>
      </c>
      <c r="H74" s="34">
        <f>F74+G74</f>
        <v>1849189.24</v>
      </c>
      <c r="I74" s="34">
        <v>1389704.47</v>
      </c>
      <c r="J74" s="34">
        <f>1389704.47-18122.14</f>
        <v>1371582.33</v>
      </c>
      <c r="K74" s="12">
        <f>H74-I74</f>
        <v>459484.77</v>
      </c>
      <c r="L74" s="45"/>
    </row>
    <row r="75" spans="1:12" s="4" customFormat="1" x14ac:dyDescent="0.25">
      <c r="A75" s="23"/>
      <c r="B75" s="22"/>
      <c r="C75" s="35">
        <v>21500</v>
      </c>
      <c r="D75" s="21" t="s">
        <v>161</v>
      </c>
      <c r="E75" s="20"/>
      <c r="F75" s="19">
        <f>SUM(F76)</f>
        <v>263740</v>
      </c>
      <c r="G75" s="19">
        <f>SUM(G76)</f>
        <v>0</v>
      </c>
      <c r="H75" s="19">
        <f>SUM(H76)</f>
        <v>263740</v>
      </c>
      <c r="I75" s="19">
        <f>SUM(I76)</f>
        <v>250992.61</v>
      </c>
      <c r="J75" s="19">
        <f>SUM(J76)</f>
        <v>216487.05</v>
      </c>
      <c r="K75" s="19">
        <f>SUM(K76)</f>
        <v>12747.390000000014</v>
      </c>
      <c r="L75" s="45"/>
    </row>
    <row r="76" spans="1:12" s="4" customFormat="1" x14ac:dyDescent="0.25">
      <c r="A76" s="23"/>
      <c r="B76" s="38"/>
      <c r="C76" s="22"/>
      <c r="D76" s="37">
        <v>21501</v>
      </c>
      <c r="E76" s="36" t="s">
        <v>160</v>
      </c>
      <c r="F76" s="34">
        <v>263740</v>
      </c>
      <c r="G76" s="34"/>
      <c r="H76" s="34">
        <f>F76+G76</f>
        <v>263740</v>
      </c>
      <c r="I76" s="34">
        <v>250992.61</v>
      </c>
      <c r="J76" s="34">
        <f>250992.61-34505.56</f>
        <v>216487.05</v>
      </c>
      <c r="K76" s="12">
        <f>H76-I76</f>
        <v>12747.390000000014</v>
      </c>
      <c r="L76" s="45"/>
    </row>
    <row r="77" spans="1:12" s="4" customFormat="1" x14ac:dyDescent="0.25">
      <c r="A77" s="23"/>
      <c r="B77" s="22"/>
      <c r="C77" s="35">
        <v>21600</v>
      </c>
      <c r="D77" s="21" t="s">
        <v>159</v>
      </c>
      <c r="E77" s="20"/>
      <c r="F77" s="19">
        <f>SUM(F78)</f>
        <v>892500</v>
      </c>
      <c r="G77" s="19">
        <f>SUM(G78)</f>
        <v>0</v>
      </c>
      <c r="H77" s="19">
        <f>SUM(H78)</f>
        <v>892500</v>
      </c>
      <c r="I77" s="19">
        <f>SUM(I78)</f>
        <v>827390.01</v>
      </c>
      <c r="J77" s="19">
        <f>SUM(J78)</f>
        <v>802857.66</v>
      </c>
      <c r="K77" s="19">
        <f>SUM(K78)</f>
        <v>65109.989999999991</v>
      </c>
      <c r="L77" s="45"/>
    </row>
    <row r="78" spans="1:12" s="4" customFormat="1" x14ac:dyDescent="0.25">
      <c r="A78" s="23"/>
      <c r="B78" s="38"/>
      <c r="C78" s="22"/>
      <c r="D78" s="37">
        <v>21601</v>
      </c>
      <c r="E78" s="36" t="s">
        <v>159</v>
      </c>
      <c r="F78" s="34">
        <v>892500</v>
      </c>
      <c r="G78" s="34"/>
      <c r="H78" s="34">
        <f>F78+G78</f>
        <v>892500</v>
      </c>
      <c r="I78" s="34">
        <v>827390.01</v>
      </c>
      <c r="J78" s="34">
        <f>827390.01-24532.35</f>
        <v>802857.66</v>
      </c>
      <c r="K78" s="12">
        <f>H78-I78</f>
        <v>65109.989999999991</v>
      </c>
      <c r="L78" s="45"/>
    </row>
    <row r="79" spans="1:12" s="4" customFormat="1" x14ac:dyDescent="0.25">
      <c r="A79" s="23"/>
      <c r="B79" s="22"/>
      <c r="C79" s="35">
        <v>21800</v>
      </c>
      <c r="D79" s="21" t="s">
        <v>158</v>
      </c>
      <c r="E79" s="20"/>
      <c r="F79" s="19">
        <f>SUM(F80)</f>
        <v>18857.5</v>
      </c>
      <c r="G79" s="19">
        <f>SUM(G80)</f>
        <v>0</v>
      </c>
      <c r="H79" s="19">
        <f>SUM(H80)</f>
        <v>18857.5</v>
      </c>
      <c r="I79" s="19">
        <f>SUM(I80)</f>
        <v>17545</v>
      </c>
      <c r="J79" s="19">
        <f>SUM(J80)</f>
        <v>17545</v>
      </c>
      <c r="K79" s="19">
        <f>SUM(K80)</f>
        <v>1312.5</v>
      </c>
      <c r="L79" s="45"/>
    </row>
    <row r="80" spans="1:12" s="4" customFormat="1" x14ac:dyDescent="0.25">
      <c r="A80" s="23"/>
      <c r="B80" s="38"/>
      <c r="C80" s="22"/>
      <c r="D80" s="37">
        <v>21801</v>
      </c>
      <c r="E80" s="36" t="s">
        <v>157</v>
      </c>
      <c r="F80" s="34">
        <v>18857.5</v>
      </c>
      <c r="G80" s="34"/>
      <c r="H80" s="34">
        <f>F80+G80</f>
        <v>18857.5</v>
      </c>
      <c r="I80" s="34">
        <v>17545</v>
      </c>
      <c r="J80" s="34">
        <v>17545</v>
      </c>
      <c r="K80" s="12">
        <f>H80-I80</f>
        <v>1312.5</v>
      </c>
      <c r="L80" s="45"/>
    </row>
    <row r="81" spans="1:12" s="4" customFormat="1" x14ac:dyDescent="0.25">
      <c r="A81" s="23"/>
      <c r="B81" s="28">
        <v>22000</v>
      </c>
      <c r="C81" s="27" t="s">
        <v>156</v>
      </c>
      <c r="D81" s="26"/>
      <c r="E81" s="25"/>
      <c r="F81" s="24">
        <f>SUM(F82,F86)</f>
        <v>302712.5</v>
      </c>
      <c r="G81" s="24">
        <f>SUM(G82,G86)</f>
        <v>23000</v>
      </c>
      <c r="H81" s="24">
        <f>SUM(H82,H86)</f>
        <v>325712.5</v>
      </c>
      <c r="I81" s="24">
        <f>SUM(I82,I86)</f>
        <v>318457.38</v>
      </c>
      <c r="J81" s="24">
        <f>SUM(J82,J86)</f>
        <v>301251.57999999996</v>
      </c>
      <c r="K81" s="24">
        <f>SUM(K82,K86)</f>
        <v>7255.1200000000126</v>
      </c>
      <c r="L81" s="45"/>
    </row>
    <row r="82" spans="1:12" s="4" customFormat="1" x14ac:dyDescent="0.25">
      <c r="A82" s="23"/>
      <c r="B82" s="22"/>
      <c r="C82" s="35">
        <v>22100</v>
      </c>
      <c r="D82" s="21" t="s">
        <v>155</v>
      </c>
      <c r="E82" s="20"/>
      <c r="F82" s="19">
        <f>SUM(F83:F85)</f>
        <v>297750</v>
      </c>
      <c r="G82" s="19">
        <f>SUM(G83:G85)</f>
        <v>23000</v>
      </c>
      <c r="H82" s="19">
        <f>SUM(H83:H85)</f>
        <v>320750</v>
      </c>
      <c r="I82" s="19">
        <f>SUM(I83:I85)</f>
        <v>315609.58</v>
      </c>
      <c r="J82" s="19">
        <f>SUM(J83:J85)</f>
        <v>298403.77999999997</v>
      </c>
      <c r="K82" s="19">
        <f>SUM(K83:K85)</f>
        <v>5140.4200000000128</v>
      </c>
      <c r="L82" s="45"/>
    </row>
    <row r="83" spans="1:12" s="4" customFormat="1" x14ac:dyDescent="0.25">
      <c r="A83" s="23"/>
      <c r="B83" s="38"/>
      <c r="C83" s="22"/>
      <c r="D83" s="37">
        <v>22104</v>
      </c>
      <c r="E83" s="36" t="s">
        <v>154</v>
      </c>
      <c r="F83" s="34">
        <v>15880</v>
      </c>
      <c r="G83" s="34">
        <v>20000</v>
      </c>
      <c r="H83" s="34">
        <f>F83+G83</f>
        <v>35880</v>
      </c>
      <c r="I83" s="34">
        <f>23661.86+11305</f>
        <v>34966.86</v>
      </c>
      <c r="J83" s="34">
        <f>34966.86-1309.08</f>
        <v>33657.78</v>
      </c>
      <c r="K83" s="12">
        <f>H83-I83</f>
        <v>913.13999999999942</v>
      </c>
      <c r="L83" s="45"/>
    </row>
    <row r="84" spans="1:12" s="4" customFormat="1" x14ac:dyDescent="0.25">
      <c r="A84" s="23"/>
      <c r="B84" s="38"/>
      <c r="C84" s="22"/>
      <c r="D84" s="37">
        <v>22105</v>
      </c>
      <c r="E84" s="36" t="s">
        <v>153</v>
      </c>
      <c r="F84" s="34">
        <v>248125</v>
      </c>
      <c r="G84" s="34"/>
      <c r="H84" s="34">
        <f>F84+G84</f>
        <v>248125</v>
      </c>
      <c r="I84" s="34">
        <f>258749.27-11305</f>
        <v>247444.27</v>
      </c>
      <c r="J84" s="34">
        <f>247444.27-12192.5-174</f>
        <v>235077.77</v>
      </c>
      <c r="K84" s="12">
        <f>H84-I84</f>
        <v>680.73000000001048</v>
      </c>
      <c r="L84" s="45"/>
    </row>
    <row r="85" spans="1:12" s="4" customFormat="1" x14ac:dyDescent="0.25">
      <c r="A85" s="23"/>
      <c r="B85" s="38"/>
      <c r="C85" s="22"/>
      <c r="D85" s="37">
        <v>22106</v>
      </c>
      <c r="E85" s="36" t="s">
        <v>152</v>
      </c>
      <c r="F85" s="34">
        <v>33745</v>
      </c>
      <c r="G85" s="34">
        <v>3000</v>
      </c>
      <c r="H85" s="34">
        <f>F85+G85</f>
        <v>36745</v>
      </c>
      <c r="I85" s="34">
        <v>33198.449999999997</v>
      </c>
      <c r="J85" s="34">
        <f>33198.45-3530.22</f>
        <v>29668.229999999996</v>
      </c>
      <c r="K85" s="12">
        <f>H85-I85</f>
        <v>3546.5500000000029</v>
      </c>
      <c r="L85" s="45"/>
    </row>
    <row r="86" spans="1:12" s="4" customFormat="1" x14ac:dyDescent="0.25">
      <c r="A86" s="23"/>
      <c r="B86" s="22"/>
      <c r="C86" s="35">
        <v>22300</v>
      </c>
      <c r="D86" s="21" t="s">
        <v>151</v>
      </c>
      <c r="E86" s="20"/>
      <c r="F86" s="19">
        <f>SUM(F87)</f>
        <v>4962.5</v>
      </c>
      <c r="G86" s="19">
        <f>SUM(G87)</f>
        <v>0</v>
      </c>
      <c r="H86" s="19">
        <f>SUM(H87)</f>
        <v>4962.5</v>
      </c>
      <c r="I86" s="19">
        <f>SUM(I87)</f>
        <v>2847.8</v>
      </c>
      <c r="J86" s="19">
        <f>SUM(J87)</f>
        <v>2847.8</v>
      </c>
      <c r="K86" s="19">
        <f>SUM(K87)</f>
        <v>2114.6999999999998</v>
      </c>
      <c r="L86" s="45"/>
    </row>
    <row r="87" spans="1:12" s="4" customFormat="1" ht="30" x14ac:dyDescent="0.25">
      <c r="A87" s="23"/>
      <c r="B87" s="38"/>
      <c r="C87" s="43"/>
      <c r="D87" s="42">
        <v>22301</v>
      </c>
      <c r="E87" s="41" t="s">
        <v>151</v>
      </c>
      <c r="F87" s="34">
        <v>4962.5</v>
      </c>
      <c r="G87" s="34"/>
      <c r="H87" s="34">
        <f>F87+G87</f>
        <v>4962.5</v>
      </c>
      <c r="I87" s="34">
        <v>2847.8</v>
      </c>
      <c r="J87" s="34">
        <v>2847.8</v>
      </c>
      <c r="K87" s="12">
        <f>H87-I87</f>
        <v>2114.6999999999998</v>
      </c>
      <c r="L87" s="45"/>
    </row>
    <row r="88" spans="1:12" s="4" customFormat="1" x14ac:dyDescent="0.25">
      <c r="A88" s="23"/>
      <c r="B88" s="28">
        <v>24000</v>
      </c>
      <c r="C88" s="27" t="s">
        <v>150</v>
      </c>
      <c r="D88" s="26"/>
      <c r="E88" s="25"/>
      <c r="F88" s="24">
        <f>SUM(F89,F91,F93,F95,F97,F99,F101,F103)</f>
        <v>627167.5</v>
      </c>
      <c r="G88" s="24">
        <f>SUM(G89,G91,G93,G95,G97,G99,G101,G103)</f>
        <v>210388.53</v>
      </c>
      <c r="H88" s="24">
        <f>SUM(H89,H91,H93,H95,H97,H99,H101,H103)</f>
        <v>837556.03</v>
      </c>
      <c r="I88" s="24">
        <f>SUM(I89,I91,I93,I95,I97,I99,I101,I103)</f>
        <v>462185.12999999995</v>
      </c>
      <c r="J88" s="24">
        <f>SUM(J89,J91,J93,J95,J97,J99,J101,J103)</f>
        <v>357243.83999999997</v>
      </c>
      <c r="K88" s="24">
        <f>SUM(K89,K91,K93,K95,K97,K99,K101,K103)</f>
        <v>375370.9</v>
      </c>
      <c r="L88" s="45"/>
    </row>
    <row r="89" spans="1:12" s="4" customFormat="1" hidden="1" x14ac:dyDescent="0.25">
      <c r="A89" s="23"/>
      <c r="B89" s="22"/>
      <c r="C89" s="35">
        <v>24200</v>
      </c>
      <c r="D89" s="21" t="s">
        <v>149</v>
      </c>
      <c r="E89" s="20"/>
      <c r="F89" s="19">
        <f>SUM(F90)</f>
        <v>0</v>
      </c>
      <c r="G89" s="19">
        <f>SUM(G90)</f>
        <v>0</v>
      </c>
      <c r="H89" s="19">
        <f>SUM(H90)</f>
        <v>0</v>
      </c>
      <c r="I89" s="19">
        <f>SUM(I90)</f>
        <v>0</v>
      </c>
      <c r="J89" s="19">
        <f>SUM(J90)</f>
        <v>0</v>
      </c>
      <c r="K89" s="19">
        <f>SUM(K90)</f>
        <v>0</v>
      </c>
      <c r="L89" s="45"/>
    </row>
    <row r="90" spans="1:12" s="4" customFormat="1" hidden="1" x14ac:dyDescent="0.25">
      <c r="A90" s="23"/>
      <c r="B90" s="38"/>
      <c r="C90" s="22"/>
      <c r="D90" s="37">
        <v>24201</v>
      </c>
      <c r="E90" s="36" t="s">
        <v>149</v>
      </c>
      <c r="F90" s="34">
        <v>0</v>
      </c>
      <c r="G90" s="34"/>
      <c r="H90" s="34">
        <f>F90+G90</f>
        <v>0</v>
      </c>
      <c r="I90" s="34"/>
      <c r="J90" s="34"/>
      <c r="K90" s="12">
        <f>H90-I90</f>
        <v>0</v>
      </c>
      <c r="L90" s="45"/>
    </row>
    <row r="91" spans="1:12" s="4" customFormat="1" hidden="1" x14ac:dyDescent="0.25">
      <c r="A91" s="23"/>
      <c r="B91" s="22"/>
      <c r="C91" s="35">
        <v>24300</v>
      </c>
      <c r="D91" s="21" t="s">
        <v>148</v>
      </c>
      <c r="E91" s="20"/>
      <c r="F91" s="19">
        <f>SUM(F92)</f>
        <v>0</v>
      </c>
      <c r="G91" s="19">
        <f>SUM(G92)</f>
        <v>0</v>
      </c>
      <c r="H91" s="19">
        <f>SUM(H92)</f>
        <v>0</v>
      </c>
      <c r="I91" s="19">
        <f>SUM(I92)</f>
        <v>0</v>
      </c>
      <c r="J91" s="19">
        <f>SUM(J92)</f>
        <v>0</v>
      </c>
      <c r="K91" s="19">
        <f>SUM(K92)</f>
        <v>0</v>
      </c>
      <c r="L91" s="45"/>
    </row>
    <row r="92" spans="1:12" s="4" customFormat="1" hidden="1" x14ac:dyDescent="0.25">
      <c r="A92" s="23"/>
      <c r="B92" s="38"/>
      <c r="C92" s="22"/>
      <c r="D92" s="37">
        <v>24301</v>
      </c>
      <c r="E92" s="36" t="s">
        <v>148</v>
      </c>
      <c r="F92" s="34">
        <v>0</v>
      </c>
      <c r="G92" s="34"/>
      <c r="H92" s="34">
        <f>F92+G92</f>
        <v>0</v>
      </c>
      <c r="I92" s="34"/>
      <c r="J92" s="34"/>
      <c r="K92" s="12">
        <f>H92-I92</f>
        <v>0</v>
      </c>
      <c r="L92" s="45"/>
    </row>
    <row r="93" spans="1:12" s="4" customFormat="1" hidden="1" x14ac:dyDescent="0.25">
      <c r="A93" s="23"/>
      <c r="B93" s="22"/>
      <c r="C93" s="35">
        <v>24400</v>
      </c>
      <c r="D93" s="21" t="s">
        <v>147</v>
      </c>
      <c r="E93" s="20"/>
      <c r="F93" s="19">
        <f>SUM(F94)</f>
        <v>0</v>
      </c>
      <c r="G93" s="19">
        <f>SUM(G94)</f>
        <v>0</v>
      </c>
      <c r="H93" s="19">
        <f>SUM(H94)</f>
        <v>0</v>
      </c>
      <c r="I93" s="19">
        <f>SUM(I94)</f>
        <v>0</v>
      </c>
      <c r="J93" s="19">
        <f>SUM(J94)</f>
        <v>0</v>
      </c>
      <c r="K93" s="19">
        <f>SUM(K94)</f>
        <v>0</v>
      </c>
      <c r="L93" s="45"/>
    </row>
    <row r="94" spans="1:12" s="4" customFormat="1" hidden="1" x14ac:dyDescent="0.25">
      <c r="A94" s="23"/>
      <c r="B94" s="38"/>
      <c r="C94" s="22"/>
      <c r="D94" s="37">
        <v>24401</v>
      </c>
      <c r="E94" s="36" t="s">
        <v>147</v>
      </c>
      <c r="F94" s="34">
        <v>0</v>
      </c>
      <c r="G94" s="34"/>
      <c r="H94" s="34">
        <f>F94+G94</f>
        <v>0</v>
      </c>
      <c r="I94" s="34"/>
      <c r="J94" s="34"/>
      <c r="K94" s="12">
        <f>H94-I94</f>
        <v>0</v>
      </c>
      <c r="L94" s="45"/>
    </row>
    <row r="95" spans="1:12" s="4" customFormat="1" hidden="1" x14ac:dyDescent="0.25">
      <c r="A95" s="23"/>
      <c r="B95" s="22"/>
      <c r="C95" s="35">
        <v>24500</v>
      </c>
      <c r="D95" s="21" t="s">
        <v>146</v>
      </c>
      <c r="E95" s="20"/>
      <c r="F95" s="19">
        <f>SUM(F96)</f>
        <v>0</v>
      </c>
      <c r="G95" s="19">
        <f>SUM(G96)</f>
        <v>0</v>
      </c>
      <c r="H95" s="19">
        <f>SUM(H96)</f>
        <v>0</v>
      </c>
      <c r="I95" s="19">
        <f>SUM(I96)</f>
        <v>0</v>
      </c>
      <c r="J95" s="19">
        <f>SUM(J96)</f>
        <v>0</v>
      </c>
      <c r="K95" s="19">
        <f>SUM(K96)</f>
        <v>0</v>
      </c>
      <c r="L95" s="45"/>
    </row>
    <row r="96" spans="1:12" s="4" customFormat="1" hidden="1" x14ac:dyDescent="0.25">
      <c r="A96" s="23"/>
      <c r="B96" s="38"/>
      <c r="C96" s="22"/>
      <c r="D96" s="37">
        <v>24501</v>
      </c>
      <c r="E96" s="36" t="s">
        <v>146</v>
      </c>
      <c r="F96" s="34">
        <v>0</v>
      </c>
      <c r="G96" s="34"/>
      <c r="H96" s="34">
        <f>F96+G96</f>
        <v>0</v>
      </c>
      <c r="I96" s="34"/>
      <c r="J96" s="34"/>
      <c r="K96" s="12">
        <f>H96-I96</f>
        <v>0</v>
      </c>
      <c r="L96" s="45"/>
    </row>
    <row r="97" spans="1:12" s="4" customFormat="1" x14ac:dyDescent="0.25">
      <c r="A97" s="23"/>
      <c r="B97" s="22"/>
      <c r="C97" s="35">
        <v>24600</v>
      </c>
      <c r="D97" s="21" t="s">
        <v>145</v>
      </c>
      <c r="E97" s="20"/>
      <c r="F97" s="19">
        <f>SUM(F98)</f>
        <v>413780</v>
      </c>
      <c r="G97" s="19">
        <f>SUM(G98)</f>
        <v>7000</v>
      </c>
      <c r="H97" s="19">
        <f>SUM(H98)</f>
        <v>420780</v>
      </c>
      <c r="I97" s="19">
        <f>SUM(I98)</f>
        <v>276457.3</v>
      </c>
      <c r="J97" s="19">
        <f>SUM(J98)</f>
        <v>195406.99</v>
      </c>
      <c r="K97" s="19">
        <f>SUM(K98)</f>
        <v>144322.70000000001</v>
      </c>
      <c r="L97" s="45"/>
    </row>
    <row r="98" spans="1:12" s="4" customFormat="1" x14ac:dyDescent="0.25">
      <c r="A98" s="23"/>
      <c r="B98" s="38"/>
      <c r="C98" s="22"/>
      <c r="D98" s="37">
        <v>24601</v>
      </c>
      <c r="E98" s="36" t="s">
        <v>144</v>
      </c>
      <c r="F98" s="34">
        <v>413780</v>
      </c>
      <c r="G98" s="34">
        <v>7000</v>
      </c>
      <c r="H98" s="34">
        <f>F98+G98</f>
        <v>420780</v>
      </c>
      <c r="I98" s="34">
        <v>276457.3</v>
      </c>
      <c r="J98" s="34">
        <f>276457.3-81050.31</f>
        <v>195406.99</v>
      </c>
      <c r="K98" s="12">
        <f>H98-I98</f>
        <v>144322.70000000001</v>
      </c>
      <c r="L98" s="45"/>
    </row>
    <row r="99" spans="1:12" s="4" customFormat="1" x14ac:dyDescent="0.25">
      <c r="A99" s="23"/>
      <c r="B99" s="22"/>
      <c r="C99" s="35">
        <v>24700</v>
      </c>
      <c r="D99" s="21" t="s">
        <v>143</v>
      </c>
      <c r="E99" s="20"/>
      <c r="F99" s="19">
        <f>SUM(F100)</f>
        <v>14887.5</v>
      </c>
      <c r="G99" s="19">
        <f>SUM(G100)</f>
        <v>0</v>
      </c>
      <c r="H99" s="19">
        <f>SUM(H100)</f>
        <v>14887.5</v>
      </c>
      <c r="I99" s="19">
        <f>SUM(I100)</f>
        <v>5641.04</v>
      </c>
      <c r="J99" s="19">
        <f>SUM(J100)</f>
        <v>5026.66</v>
      </c>
      <c r="K99" s="19">
        <f>SUM(K100)</f>
        <v>9246.4599999999991</v>
      </c>
      <c r="L99" s="45"/>
    </row>
    <row r="100" spans="1:12" s="4" customFormat="1" x14ac:dyDescent="0.25">
      <c r="A100" s="23"/>
      <c r="B100" s="38"/>
      <c r="C100" s="22"/>
      <c r="D100" s="37">
        <v>24701</v>
      </c>
      <c r="E100" s="36" t="s">
        <v>143</v>
      </c>
      <c r="F100" s="34">
        <v>14887.5</v>
      </c>
      <c r="G100" s="34"/>
      <c r="H100" s="34">
        <f>F100+G100</f>
        <v>14887.5</v>
      </c>
      <c r="I100" s="34">
        <v>5641.04</v>
      </c>
      <c r="J100" s="34">
        <f>5641.04-614.38</f>
        <v>5026.66</v>
      </c>
      <c r="K100" s="12">
        <f>H100-I100</f>
        <v>9246.4599999999991</v>
      </c>
      <c r="L100" s="45"/>
    </row>
    <row r="101" spans="1:12" s="4" customFormat="1" x14ac:dyDescent="0.25">
      <c r="A101" s="23"/>
      <c r="B101" s="22"/>
      <c r="C101" s="35">
        <v>24800</v>
      </c>
      <c r="D101" s="21" t="s">
        <v>142</v>
      </c>
      <c r="E101" s="20"/>
      <c r="F101" s="19">
        <f>SUM(F102)</f>
        <v>24812.5</v>
      </c>
      <c r="G101" s="19">
        <f>SUM(G102)</f>
        <v>0</v>
      </c>
      <c r="H101" s="19">
        <f>SUM(H102)</f>
        <v>24812.5</v>
      </c>
      <c r="I101" s="19">
        <f>SUM(I102)</f>
        <v>9212.7199999999993</v>
      </c>
      <c r="J101" s="19">
        <f>SUM(J102)</f>
        <v>9212.7199999999993</v>
      </c>
      <c r="K101" s="19">
        <f>SUM(K102)</f>
        <v>15599.78</v>
      </c>
      <c r="L101" s="45"/>
    </row>
    <row r="102" spans="1:12" s="4" customFormat="1" x14ac:dyDescent="0.25">
      <c r="A102" s="23"/>
      <c r="B102" s="38"/>
      <c r="C102" s="22"/>
      <c r="D102" s="37">
        <v>24801</v>
      </c>
      <c r="E102" s="36" t="s">
        <v>142</v>
      </c>
      <c r="F102" s="34">
        <v>24812.5</v>
      </c>
      <c r="G102" s="34"/>
      <c r="H102" s="34">
        <f>F102+G102</f>
        <v>24812.5</v>
      </c>
      <c r="I102" s="34">
        <v>9212.7199999999993</v>
      </c>
      <c r="J102" s="34">
        <v>9212.7199999999993</v>
      </c>
      <c r="K102" s="12">
        <f>H102-I102</f>
        <v>15599.78</v>
      </c>
      <c r="L102" s="45"/>
    </row>
    <row r="103" spans="1:12" s="4" customFormat="1" x14ac:dyDescent="0.25">
      <c r="A103" s="23"/>
      <c r="B103" s="22"/>
      <c r="C103" s="35">
        <v>24900</v>
      </c>
      <c r="D103" s="21" t="s">
        <v>141</v>
      </c>
      <c r="E103" s="20"/>
      <c r="F103" s="19">
        <f>SUM(F104)</f>
        <v>173687.5</v>
      </c>
      <c r="G103" s="19">
        <f>SUM(G104)</f>
        <v>203388.53</v>
      </c>
      <c r="H103" s="19">
        <f>SUM(H104)</f>
        <v>377076.03</v>
      </c>
      <c r="I103" s="19">
        <f>SUM(I104)</f>
        <v>170874.07</v>
      </c>
      <c r="J103" s="19">
        <f>SUM(J104)</f>
        <v>147597.47</v>
      </c>
      <c r="K103" s="19">
        <f>SUM(K104)</f>
        <v>206201.96000000002</v>
      </c>
      <c r="L103" s="45"/>
    </row>
    <row r="104" spans="1:12" s="4" customFormat="1" ht="30" x14ac:dyDescent="0.25">
      <c r="A104" s="23"/>
      <c r="B104" s="38"/>
      <c r="C104" s="22"/>
      <c r="D104" s="37">
        <v>24901</v>
      </c>
      <c r="E104" s="36" t="s">
        <v>141</v>
      </c>
      <c r="F104" s="34">
        <v>173687.5</v>
      </c>
      <c r="G104" s="34">
        <v>203388.53</v>
      </c>
      <c r="H104" s="34">
        <f>F104+G104</f>
        <v>377076.03</v>
      </c>
      <c r="I104" s="34">
        <v>170874.07</v>
      </c>
      <c r="J104" s="34">
        <f>170874.07-23276.6</f>
        <v>147597.47</v>
      </c>
      <c r="K104" s="12">
        <f>H104-I104</f>
        <v>206201.96000000002</v>
      </c>
      <c r="L104" s="45"/>
    </row>
    <row r="105" spans="1:12" s="4" customFormat="1" x14ac:dyDescent="0.25">
      <c r="A105" s="23"/>
      <c r="B105" s="28">
        <v>25000</v>
      </c>
      <c r="C105" s="27" t="s">
        <v>140</v>
      </c>
      <c r="D105" s="26"/>
      <c r="E105" s="25"/>
      <c r="F105" s="24">
        <f>SUM(F106,F108,F110)</f>
        <v>208425</v>
      </c>
      <c r="G105" s="24">
        <f>SUM(G106,G108,G110)</f>
        <v>20000</v>
      </c>
      <c r="H105" s="24">
        <f>SUM(H106,H108,H110)</f>
        <v>228425</v>
      </c>
      <c r="I105" s="24">
        <f>SUM(I106,I108,I110)</f>
        <v>131460.43</v>
      </c>
      <c r="J105" s="24">
        <f>SUM(J106,J108,J110)</f>
        <v>109926.38</v>
      </c>
      <c r="K105" s="24">
        <f>SUM(K106,K108,K110)</f>
        <v>96964.569999999992</v>
      </c>
      <c r="L105" s="45"/>
    </row>
    <row r="106" spans="1:12" s="4" customFormat="1" x14ac:dyDescent="0.25">
      <c r="A106" s="23"/>
      <c r="B106" s="22"/>
      <c r="C106" s="35">
        <v>25300</v>
      </c>
      <c r="D106" s="21" t="s">
        <v>139</v>
      </c>
      <c r="E106" s="20"/>
      <c r="F106" s="19">
        <f>SUM(F107)</f>
        <v>109175</v>
      </c>
      <c r="G106" s="19">
        <f>SUM(G107)</f>
        <v>-10000</v>
      </c>
      <c r="H106" s="19">
        <f>SUM(H107)</f>
        <v>99175</v>
      </c>
      <c r="I106" s="19">
        <f>SUM(I107)</f>
        <v>46613.440000000002</v>
      </c>
      <c r="J106" s="19">
        <f>SUM(J107)</f>
        <v>46613.440000000002</v>
      </c>
      <c r="K106" s="19">
        <f>SUM(K107)</f>
        <v>52561.56</v>
      </c>
      <c r="L106" s="45"/>
    </row>
    <row r="107" spans="1:12" s="4" customFormat="1" x14ac:dyDescent="0.25">
      <c r="A107" s="23"/>
      <c r="B107" s="38"/>
      <c r="C107" s="22"/>
      <c r="D107" s="37">
        <v>25301</v>
      </c>
      <c r="E107" s="36" t="s">
        <v>139</v>
      </c>
      <c r="F107" s="34">
        <v>109175</v>
      </c>
      <c r="G107" s="34">
        <v>-10000</v>
      </c>
      <c r="H107" s="34">
        <f>F107+G107</f>
        <v>99175</v>
      </c>
      <c r="I107" s="34">
        <v>46613.440000000002</v>
      </c>
      <c r="J107" s="34">
        <v>46613.440000000002</v>
      </c>
      <c r="K107" s="12">
        <f>H107-I107</f>
        <v>52561.56</v>
      </c>
      <c r="L107" s="45"/>
    </row>
    <row r="108" spans="1:12" s="4" customFormat="1" x14ac:dyDescent="0.25">
      <c r="A108" s="23"/>
      <c r="B108" s="22"/>
      <c r="C108" s="35">
        <v>25400</v>
      </c>
      <c r="D108" s="21" t="s">
        <v>138</v>
      </c>
      <c r="E108" s="20"/>
      <c r="F108" s="19">
        <f>SUM(F109)</f>
        <v>89325</v>
      </c>
      <c r="G108" s="19">
        <f>SUM(G109)</f>
        <v>20000</v>
      </c>
      <c r="H108" s="19">
        <f>SUM(H109)</f>
        <v>109325</v>
      </c>
      <c r="I108" s="19">
        <f>SUM(I109)</f>
        <v>75496.14</v>
      </c>
      <c r="J108" s="19">
        <f>SUM(J109)</f>
        <v>57386.22</v>
      </c>
      <c r="K108" s="19">
        <f>SUM(K109)</f>
        <v>33828.86</v>
      </c>
      <c r="L108" s="45"/>
    </row>
    <row r="109" spans="1:12" s="4" customFormat="1" ht="30" x14ac:dyDescent="0.25">
      <c r="A109" s="23"/>
      <c r="B109" s="38"/>
      <c r="C109" s="22"/>
      <c r="D109" s="37">
        <v>25401</v>
      </c>
      <c r="E109" s="36" t="s">
        <v>138</v>
      </c>
      <c r="F109" s="34">
        <v>89325</v>
      </c>
      <c r="G109" s="34">
        <v>20000</v>
      </c>
      <c r="H109" s="34">
        <f>F109+G109</f>
        <v>109325</v>
      </c>
      <c r="I109" s="34">
        <v>75496.14</v>
      </c>
      <c r="J109" s="34">
        <f>75496.14-18109.92</f>
        <v>57386.22</v>
      </c>
      <c r="K109" s="12">
        <f>H109-I109</f>
        <v>33828.86</v>
      </c>
      <c r="L109" s="45"/>
    </row>
    <row r="110" spans="1:12" s="4" customFormat="1" x14ac:dyDescent="0.25">
      <c r="A110" s="23"/>
      <c r="B110" s="22"/>
      <c r="C110" s="35">
        <v>25500</v>
      </c>
      <c r="D110" s="21" t="s">
        <v>137</v>
      </c>
      <c r="E110" s="20"/>
      <c r="F110" s="19">
        <f>SUM(F111)</f>
        <v>9925</v>
      </c>
      <c r="G110" s="19">
        <f>SUM(G111)</f>
        <v>10000</v>
      </c>
      <c r="H110" s="19">
        <f>SUM(H111)</f>
        <v>19925</v>
      </c>
      <c r="I110" s="19">
        <f>SUM(I111)</f>
        <v>9350.85</v>
      </c>
      <c r="J110" s="19">
        <f>SUM(J111)</f>
        <v>5926.72</v>
      </c>
      <c r="K110" s="19">
        <f>SUM(K111)</f>
        <v>10574.15</v>
      </c>
      <c r="L110" s="45"/>
    </row>
    <row r="111" spans="1:12" s="4" customFormat="1" ht="30" x14ac:dyDescent="0.25">
      <c r="A111" s="23"/>
      <c r="B111" s="38"/>
      <c r="C111" s="22"/>
      <c r="D111" s="37">
        <v>25501</v>
      </c>
      <c r="E111" s="36" t="s">
        <v>137</v>
      </c>
      <c r="F111" s="34">
        <v>9925</v>
      </c>
      <c r="G111" s="34">
        <v>10000</v>
      </c>
      <c r="H111" s="34">
        <f>F111+G111</f>
        <v>19925</v>
      </c>
      <c r="I111" s="34">
        <v>9350.85</v>
      </c>
      <c r="J111" s="34">
        <f>9350.85-3424.13</f>
        <v>5926.72</v>
      </c>
      <c r="K111" s="12">
        <f>H111-I111</f>
        <v>10574.15</v>
      </c>
      <c r="L111" s="45"/>
    </row>
    <row r="112" spans="1:12" s="4" customFormat="1" x14ac:dyDescent="0.25">
      <c r="A112" s="23"/>
      <c r="B112" s="28">
        <v>26000</v>
      </c>
      <c r="C112" s="27" t="s">
        <v>136</v>
      </c>
      <c r="D112" s="26"/>
      <c r="E112" s="25"/>
      <c r="F112" s="24">
        <f>SUM(F113)</f>
        <v>6767785</v>
      </c>
      <c r="G112" s="24">
        <f>SUM(G113)</f>
        <v>16388.53</v>
      </c>
      <c r="H112" s="24">
        <f>SUM(H113)</f>
        <v>6784173.5300000003</v>
      </c>
      <c r="I112" s="24">
        <f>SUM(I113)</f>
        <v>6763412.2300000004</v>
      </c>
      <c r="J112" s="24">
        <f>SUM(J113)</f>
        <v>6260381.1300000008</v>
      </c>
      <c r="K112" s="24">
        <f>SUM(K113)</f>
        <v>20761.3</v>
      </c>
      <c r="L112" s="45"/>
    </row>
    <row r="113" spans="1:12" s="4" customFormat="1" x14ac:dyDescent="0.25">
      <c r="A113" s="23"/>
      <c r="B113" s="22"/>
      <c r="C113" s="35">
        <v>26100</v>
      </c>
      <c r="D113" s="21" t="s">
        <v>136</v>
      </c>
      <c r="E113" s="20"/>
      <c r="F113" s="19">
        <f>SUM(F114:F115)</f>
        <v>6767785</v>
      </c>
      <c r="G113" s="19">
        <f>SUM(G114:G115)</f>
        <v>16388.53</v>
      </c>
      <c r="H113" s="19">
        <f>SUM(H114:H115)</f>
        <v>6784173.5300000003</v>
      </c>
      <c r="I113" s="19">
        <f>SUM(I114:I115)</f>
        <v>6763412.2300000004</v>
      </c>
      <c r="J113" s="19">
        <f>SUM(J114:J115)</f>
        <v>6260381.1300000008</v>
      </c>
      <c r="K113" s="19">
        <f>SUM(K114:K115)</f>
        <v>20761.3</v>
      </c>
      <c r="L113" s="45"/>
    </row>
    <row r="114" spans="1:12" s="4" customFormat="1" x14ac:dyDescent="0.25">
      <c r="A114" s="23"/>
      <c r="B114" s="38"/>
      <c r="C114" s="22"/>
      <c r="D114" s="37">
        <v>26101</v>
      </c>
      <c r="E114" s="36" t="s">
        <v>135</v>
      </c>
      <c r="F114" s="34">
        <v>6757860</v>
      </c>
      <c r="G114" s="34"/>
      <c r="H114" s="34">
        <f>F114+G114</f>
        <v>6757860</v>
      </c>
      <c r="I114" s="34">
        <v>6753404.25</v>
      </c>
      <c r="J114" s="34">
        <f>6753404.25-503031.1</f>
        <v>6250373.1500000004</v>
      </c>
      <c r="K114" s="12">
        <f>H114-I114</f>
        <v>4455.75</v>
      </c>
      <c r="L114" s="45"/>
    </row>
    <row r="115" spans="1:12" s="4" customFormat="1" x14ac:dyDescent="0.25">
      <c r="A115" s="23"/>
      <c r="B115" s="38"/>
      <c r="C115" s="22"/>
      <c r="D115" s="37">
        <v>26102</v>
      </c>
      <c r="E115" s="36" t="s">
        <v>134</v>
      </c>
      <c r="F115" s="34">
        <v>9925</v>
      </c>
      <c r="G115" s="34">
        <v>16388.53</v>
      </c>
      <c r="H115" s="34">
        <f>F115+G115</f>
        <v>26313.53</v>
      </c>
      <c r="I115" s="34">
        <v>10007.98</v>
      </c>
      <c r="J115" s="34">
        <v>10007.98</v>
      </c>
      <c r="K115" s="12">
        <f>H115-I115</f>
        <v>16305.55</v>
      </c>
      <c r="L115" s="45"/>
    </row>
    <row r="116" spans="1:12" s="4" customFormat="1" x14ac:dyDescent="0.25">
      <c r="A116" s="23"/>
      <c r="B116" s="28">
        <v>27000</v>
      </c>
      <c r="C116" s="27" t="s">
        <v>133</v>
      </c>
      <c r="D116" s="26"/>
      <c r="E116" s="25"/>
      <c r="F116" s="24">
        <f>SUM(F117,F120)</f>
        <v>423003.5</v>
      </c>
      <c r="G116" s="24">
        <f>SUM(G117,G120)</f>
        <v>-165966.29999999999</v>
      </c>
      <c r="H116" s="24">
        <f>SUM(H117,H120)</f>
        <v>257037.2</v>
      </c>
      <c r="I116" s="24">
        <f>SUM(I117,I120)</f>
        <v>250236.36</v>
      </c>
      <c r="J116" s="24">
        <f>SUM(J117,J120)</f>
        <v>243684.68</v>
      </c>
      <c r="K116" s="24">
        <f>SUM(K117,K120)</f>
        <v>6800.8400000000256</v>
      </c>
      <c r="L116" s="45"/>
    </row>
    <row r="117" spans="1:12" s="4" customFormat="1" x14ac:dyDescent="0.25">
      <c r="A117" s="23"/>
      <c r="B117" s="22"/>
      <c r="C117" s="35">
        <v>27100</v>
      </c>
      <c r="D117" s="21" t="s">
        <v>132</v>
      </c>
      <c r="E117" s="20"/>
      <c r="F117" s="19">
        <f>SUM(F118:F119)</f>
        <v>421812.5</v>
      </c>
      <c r="G117" s="19">
        <f>SUM(G118:G119)</f>
        <v>-164775.29999999999</v>
      </c>
      <c r="H117" s="19">
        <f>SUM(H118:H119)</f>
        <v>257037.2</v>
      </c>
      <c r="I117" s="19">
        <f>SUM(I118:I119)</f>
        <v>250236.36</v>
      </c>
      <c r="J117" s="19">
        <f>SUM(J118:J119)</f>
        <v>243684.68</v>
      </c>
      <c r="K117" s="19">
        <f>SUM(K118:K119)</f>
        <v>6800.8400000000256</v>
      </c>
      <c r="L117" s="45"/>
    </row>
    <row r="118" spans="1:12" s="4" customFormat="1" x14ac:dyDescent="0.25">
      <c r="A118" s="23"/>
      <c r="B118" s="38"/>
      <c r="C118" s="22"/>
      <c r="D118" s="37">
        <v>27101</v>
      </c>
      <c r="E118" s="36" t="s">
        <v>132</v>
      </c>
      <c r="F118" s="34">
        <v>372187.5</v>
      </c>
      <c r="G118" s="34">
        <v>-144775.29999999999</v>
      </c>
      <c r="H118" s="34">
        <f>F118+G118</f>
        <v>227412.2</v>
      </c>
      <c r="I118" s="34">
        <v>226108.36</v>
      </c>
      <c r="J118" s="34">
        <f>226108.36-6551.68</f>
        <v>219556.68</v>
      </c>
      <c r="K118" s="12">
        <f>H118-I118</f>
        <v>1303.8400000000256</v>
      </c>
      <c r="L118" s="45"/>
    </row>
    <row r="119" spans="1:12" s="4" customFormat="1" ht="30" x14ac:dyDescent="0.25">
      <c r="A119" s="23"/>
      <c r="B119" s="38"/>
      <c r="C119" s="22"/>
      <c r="D119" s="37">
        <v>27102</v>
      </c>
      <c r="E119" s="41" t="s">
        <v>131</v>
      </c>
      <c r="F119" s="34">
        <v>49625</v>
      </c>
      <c r="G119" s="34">
        <v>-20000</v>
      </c>
      <c r="H119" s="34">
        <f>F119+G119</f>
        <v>29625</v>
      </c>
      <c r="I119" s="34">
        <v>24128</v>
      </c>
      <c r="J119" s="34">
        <v>24128</v>
      </c>
      <c r="K119" s="12">
        <f>H119-I119</f>
        <v>5497</v>
      </c>
      <c r="L119" s="45"/>
    </row>
    <row r="120" spans="1:12" s="4" customFormat="1" x14ac:dyDescent="0.25">
      <c r="A120" s="23"/>
      <c r="B120" s="22"/>
      <c r="C120" s="35">
        <v>27300</v>
      </c>
      <c r="D120" s="21" t="s">
        <v>130</v>
      </c>
      <c r="E120" s="20"/>
      <c r="F120" s="19">
        <f>SUM(F121)</f>
        <v>1191</v>
      </c>
      <c r="G120" s="19">
        <f>SUM(G121)</f>
        <v>-1191</v>
      </c>
      <c r="H120" s="19">
        <f>SUM(H121)</f>
        <v>0</v>
      </c>
      <c r="I120" s="19">
        <f>SUM(I121)</f>
        <v>0</v>
      </c>
      <c r="J120" s="19">
        <f>SUM(J121)</f>
        <v>0</v>
      </c>
      <c r="K120" s="19">
        <f>SUM(K121)</f>
        <v>0</v>
      </c>
      <c r="L120" s="45"/>
    </row>
    <row r="121" spans="1:12" s="4" customFormat="1" x14ac:dyDescent="0.25">
      <c r="A121" s="23"/>
      <c r="B121" s="38"/>
      <c r="C121" s="22"/>
      <c r="D121" s="37">
        <v>27301</v>
      </c>
      <c r="E121" s="36" t="s">
        <v>130</v>
      </c>
      <c r="F121" s="34">
        <v>1191</v>
      </c>
      <c r="G121" s="34">
        <v>-1191</v>
      </c>
      <c r="H121" s="34">
        <f>F121+G121</f>
        <v>0</v>
      </c>
      <c r="I121" s="34"/>
      <c r="J121" s="34"/>
      <c r="K121" s="12">
        <f>H121-I121</f>
        <v>0</v>
      </c>
      <c r="L121" s="45"/>
    </row>
    <row r="122" spans="1:12" s="4" customFormat="1" x14ac:dyDescent="0.25">
      <c r="A122" s="23"/>
      <c r="B122" s="28">
        <v>29000</v>
      </c>
      <c r="C122" s="27" t="s">
        <v>129</v>
      </c>
      <c r="D122" s="26"/>
      <c r="E122" s="25"/>
      <c r="F122" s="24">
        <f>SUM(F123,F125,F127,F130,F132,F134)</f>
        <v>1482313.78</v>
      </c>
      <c r="G122" s="24">
        <f>SUM(G123,G125,G127,G130,G132,G134)</f>
        <v>30000</v>
      </c>
      <c r="H122" s="24">
        <f>SUM(H123,H125,H127,H130,H132,H134)</f>
        <v>1512313.78</v>
      </c>
      <c r="I122" s="24">
        <f>SUM(I123,I125,I127,I130,I132,I134)</f>
        <v>1005705.73</v>
      </c>
      <c r="J122" s="24">
        <f>SUM(J123,J125,J127,J130,J132,J134)</f>
        <v>922121.85</v>
      </c>
      <c r="K122" s="24">
        <f>SUM(K123,K125,K127,K130,K132,K134)</f>
        <v>506608.05</v>
      </c>
      <c r="L122" s="45"/>
    </row>
    <row r="123" spans="1:12" s="4" customFormat="1" x14ac:dyDescent="0.25">
      <c r="A123" s="23"/>
      <c r="B123" s="22"/>
      <c r="C123" s="35">
        <v>29100</v>
      </c>
      <c r="D123" s="21" t="s">
        <v>128</v>
      </c>
      <c r="E123" s="20"/>
      <c r="F123" s="19">
        <f>SUM(F124)</f>
        <v>27790</v>
      </c>
      <c r="G123" s="19">
        <f>SUM(G124)</f>
        <v>0</v>
      </c>
      <c r="H123" s="19">
        <f>SUM(H124)</f>
        <v>27790</v>
      </c>
      <c r="I123" s="19">
        <f>SUM(I124)</f>
        <v>13252.19</v>
      </c>
      <c r="J123" s="19">
        <f>SUM(J124)</f>
        <v>9557.75</v>
      </c>
      <c r="K123" s="19">
        <f>SUM(K124)</f>
        <v>14537.81</v>
      </c>
      <c r="L123" s="45"/>
    </row>
    <row r="124" spans="1:12" s="4" customFormat="1" x14ac:dyDescent="0.25">
      <c r="A124" s="23"/>
      <c r="B124" s="38"/>
      <c r="C124" s="22"/>
      <c r="D124" s="37">
        <v>29101</v>
      </c>
      <c r="E124" s="36" t="s">
        <v>127</v>
      </c>
      <c r="F124" s="34">
        <v>27790</v>
      </c>
      <c r="G124" s="34"/>
      <c r="H124" s="34">
        <f>F124+G124</f>
        <v>27790</v>
      </c>
      <c r="I124" s="34">
        <v>13252.19</v>
      </c>
      <c r="J124" s="34">
        <f>13252.19-3694.44</f>
        <v>9557.75</v>
      </c>
      <c r="K124" s="12">
        <f>H124-I124</f>
        <v>14537.81</v>
      </c>
      <c r="L124" s="45"/>
    </row>
    <row r="125" spans="1:12" s="4" customFormat="1" x14ac:dyDescent="0.25">
      <c r="A125" s="23"/>
      <c r="B125" s="22"/>
      <c r="C125" s="35">
        <v>29200</v>
      </c>
      <c r="D125" s="21" t="s">
        <v>126</v>
      </c>
      <c r="E125" s="20"/>
      <c r="F125" s="19">
        <f>SUM(F126)</f>
        <v>94287.5</v>
      </c>
      <c r="G125" s="19">
        <f>SUM(G126)</f>
        <v>0</v>
      </c>
      <c r="H125" s="19">
        <f>SUM(H126)</f>
        <v>94287.5</v>
      </c>
      <c r="I125" s="19">
        <f>SUM(I126)</f>
        <v>65997.27</v>
      </c>
      <c r="J125" s="19">
        <f>SUM(J126)</f>
        <v>55804.11</v>
      </c>
      <c r="K125" s="19">
        <f>SUM(K126)</f>
        <v>28290.229999999996</v>
      </c>
      <c r="L125" s="45"/>
    </row>
    <row r="126" spans="1:12" s="4" customFormat="1" ht="30" x14ac:dyDescent="0.25">
      <c r="A126" s="23"/>
      <c r="B126" s="38"/>
      <c r="C126" s="22"/>
      <c r="D126" s="37">
        <v>29201</v>
      </c>
      <c r="E126" s="36" t="s">
        <v>126</v>
      </c>
      <c r="F126" s="34">
        <v>94287.5</v>
      </c>
      <c r="G126" s="34"/>
      <c r="H126" s="34">
        <f>F126+G126</f>
        <v>94287.5</v>
      </c>
      <c r="I126" s="34">
        <v>65997.27</v>
      </c>
      <c r="J126" s="34">
        <f>65997.27-10193.16</f>
        <v>55804.11</v>
      </c>
      <c r="K126" s="12">
        <f>H126-I126</f>
        <v>28290.229999999996</v>
      </c>
      <c r="L126" s="45"/>
    </row>
    <row r="127" spans="1:12" s="4" customFormat="1" x14ac:dyDescent="0.25">
      <c r="A127" s="23"/>
      <c r="B127" s="22"/>
      <c r="C127" s="35">
        <v>29300</v>
      </c>
      <c r="D127" s="21" t="s">
        <v>125</v>
      </c>
      <c r="E127" s="20"/>
      <c r="F127" s="19">
        <f>SUM(F128:F129)</f>
        <v>59550</v>
      </c>
      <c r="G127" s="19">
        <f>SUM(G128:G129)</f>
        <v>0</v>
      </c>
      <c r="H127" s="19">
        <f>SUM(H128:H129)</f>
        <v>59550</v>
      </c>
      <c r="I127" s="19">
        <f>SUM(I128:I129)</f>
        <v>12951.630000000001</v>
      </c>
      <c r="J127" s="19">
        <f>SUM(J128:J129)</f>
        <v>11449.630000000001</v>
      </c>
      <c r="K127" s="19">
        <f>SUM(K128:K129)</f>
        <v>46598.37</v>
      </c>
      <c r="L127" s="45"/>
    </row>
    <row r="128" spans="1:12" s="4" customFormat="1" ht="30" x14ac:dyDescent="0.25">
      <c r="A128" s="23"/>
      <c r="B128" s="38"/>
      <c r="C128" s="22"/>
      <c r="D128" s="37">
        <v>29301</v>
      </c>
      <c r="E128" s="36" t="s">
        <v>124</v>
      </c>
      <c r="F128" s="34">
        <v>9925</v>
      </c>
      <c r="G128" s="34"/>
      <c r="H128" s="34">
        <f>F128+G128</f>
        <v>9925</v>
      </c>
      <c r="I128" s="34">
        <v>3584.63</v>
      </c>
      <c r="J128" s="34">
        <f>3584.63-1502</f>
        <v>2082.63</v>
      </c>
      <c r="K128" s="12">
        <f>H128-I128</f>
        <v>6340.37</v>
      </c>
      <c r="L128" s="45"/>
    </row>
    <row r="129" spans="1:12" s="4" customFormat="1" ht="30" x14ac:dyDescent="0.25">
      <c r="A129" s="23"/>
      <c r="B129" s="38"/>
      <c r="C129" s="22"/>
      <c r="D129" s="37">
        <v>29302</v>
      </c>
      <c r="E129" s="36" t="s">
        <v>123</v>
      </c>
      <c r="F129" s="34">
        <v>49625</v>
      </c>
      <c r="G129" s="34"/>
      <c r="H129" s="34">
        <f>F129+G129</f>
        <v>49625</v>
      </c>
      <c r="I129" s="34">
        <v>9367</v>
      </c>
      <c r="J129" s="34">
        <v>9367</v>
      </c>
      <c r="K129" s="12">
        <f>H129-I129</f>
        <v>40258</v>
      </c>
      <c r="L129" s="45"/>
    </row>
    <row r="130" spans="1:12" s="4" customFormat="1" x14ac:dyDescent="0.25">
      <c r="A130" s="23"/>
      <c r="B130" s="22"/>
      <c r="C130" s="35">
        <v>29400</v>
      </c>
      <c r="D130" s="21" t="s">
        <v>122</v>
      </c>
      <c r="E130" s="20"/>
      <c r="F130" s="19">
        <f>SUM(F131)</f>
        <v>796625</v>
      </c>
      <c r="G130" s="19">
        <f>SUM(G131)</f>
        <v>0</v>
      </c>
      <c r="H130" s="19">
        <f>SUM(H131)</f>
        <v>796625</v>
      </c>
      <c r="I130" s="19">
        <f>SUM(I131)</f>
        <v>458009.77</v>
      </c>
      <c r="J130" s="19">
        <f>SUM(J131)</f>
        <v>411329.25</v>
      </c>
      <c r="K130" s="19">
        <f>SUM(K131)</f>
        <v>338615.23</v>
      </c>
      <c r="L130" s="45"/>
    </row>
    <row r="131" spans="1:12" s="4" customFormat="1" ht="45" x14ac:dyDescent="0.25">
      <c r="A131" s="23"/>
      <c r="B131" s="38"/>
      <c r="C131" s="22"/>
      <c r="D131" s="37">
        <v>29401</v>
      </c>
      <c r="E131" s="36" t="s">
        <v>122</v>
      </c>
      <c r="F131" s="34">
        <v>796625</v>
      </c>
      <c r="G131" s="34"/>
      <c r="H131" s="34">
        <f>F131+G131</f>
        <v>796625</v>
      </c>
      <c r="I131" s="34">
        <v>458009.77</v>
      </c>
      <c r="J131" s="34">
        <f>458009.77-46680.52</f>
        <v>411329.25</v>
      </c>
      <c r="K131" s="12">
        <f>H131-I131</f>
        <v>338615.23</v>
      </c>
      <c r="L131" s="45"/>
    </row>
    <row r="132" spans="1:12" s="4" customFormat="1" x14ac:dyDescent="0.25">
      <c r="A132" s="23"/>
      <c r="B132" s="22"/>
      <c r="C132" s="35">
        <v>29600</v>
      </c>
      <c r="D132" s="21" t="s">
        <v>121</v>
      </c>
      <c r="E132" s="20"/>
      <c r="F132" s="19">
        <f>SUM(F133)</f>
        <v>104212.5</v>
      </c>
      <c r="G132" s="19">
        <f>SUM(G133)</f>
        <v>30000</v>
      </c>
      <c r="H132" s="19">
        <f>SUM(H133)</f>
        <v>134212.5</v>
      </c>
      <c r="I132" s="19">
        <f>SUM(I133)</f>
        <v>104621.7</v>
      </c>
      <c r="J132" s="19">
        <f>SUM(J133)</f>
        <v>104018.5</v>
      </c>
      <c r="K132" s="19">
        <f>SUM(K133)</f>
        <v>29590.800000000003</v>
      </c>
      <c r="L132" s="45"/>
    </row>
    <row r="133" spans="1:12" s="4" customFormat="1" ht="30" x14ac:dyDescent="0.25">
      <c r="A133" s="23"/>
      <c r="B133" s="38"/>
      <c r="C133" s="22"/>
      <c r="D133" s="37">
        <v>29601</v>
      </c>
      <c r="E133" s="36" t="s">
        <v>121</v>
      </c>
      <c r="F133" s="34">
        <v>104212.5</v>
      </c>
      <c r="G133" s="34">
        <v>30000</v>
      </c>
      <c r="H133" s="34">
        <f>F133+G133</f>
        <v>134212.5</v>
      </c>
      <c r="I133" s="34">
        <v>104621.7</v>
      </c>
      <c r="J133" s="34">
        <f>104621.7-603.2</f>
        <v>104018.5</v>
      </c>
      <c r="K133" s="12">
        <f>H133-I133</f>
        <v>29590.800000000003</v>
      </c>
      <c r="L133" s="45"/>
    </row>
    <row r="134" spans="1:12" s="4" customFormat="1" x14ac:dyDescent="0.25">
      <c r="A134" s="23"/>
      <c r="B134" s="22"/>
      <c r="C134" s="35">
        <v>29800</v>
      </c>
      <c r="D134" s="21" t="s">
        <v>120</v>
      </c>
      <c r="E134" s="20"/>
      <c r="F134" s="19">
        <f>SUM(F135:F136)</f>
        <v>399848.78</v>
      </c>
      <c r="G134" s="19">
        <f>SUM(G135:G136)</f>
        <v>0</v>
      </c>
      <c r="H134" s="19">
        <f>SUM(H135:H136)</f>
        <v>399848.78</v>
      </c>
      <c r="I134" s="19">
        <f>SUM(I135:I136)</f>
        <v>350873.17</v>
      </c>
      <c r="J134" s="19">
        <f>SUM(J135:J136)</f>
        <v>329962.61</v>
      </c>
      <c r="K134" s="19">
        <f>SUM(K135:K136)</f>
        <v>48975.61</v>
      </c>
      <c r="L134" s="45"/>
    </row>
    <row r="135" spans="1:12" s="4" customFormat="1" ht="45" x14ac:dyDescent="0.25">
      <c r="A135" s="23"/>
      <c r="B135" s="38"/>
      <c r="C135" s="22"/>
      <c r="D135" s="37">
        <v>29804</v>
      </c>
      <c r="E135" s="36" t="s">
        <v>119</v>
      </c>
      <c r="F135" s="34">
        <v>148125</v>
      </c>
      <c r="G135" s="34"/>
      <c r="H135" s="34">
        <f>F135+G135</f>
        <v>148125</v>
      </c>
      <c r="I135" s="34">
        <v>124336.77</v>
      </c>
      <c r="J135" s="34">
        <f>124336.77-897.54</f>
        <v>123439.23000000001</v>
      </c>
      <c r="K135" s="12">
        <f>H135-I135</f>
        <v>23788.229999999996</v>
      </c>
      <c r="L135" s="45"/>
    </row>
    <row r="136" spans="1:12" s="4" customFormat="1" ht="45" x14ac:dyDescent="0.25">
      <c r="A136" s="23"/>
      <c r="B136" s="38"/>
      <c r="C136" s="22"/>
      <c r="D136" s="37">
        <v>29805</v>
      </c>
      <c r="E136" s="36" t="s">
        <v>118</v>
      </c>
      <c r="F136" s="34">
        <v>251723.78</v>
      </c>
      <c r="G136" s="34"/>
      <c r="H136" s="34">
        <f>F136+G136</f>
        <v>251723.78</v>
      </c>
      <c r="I136" s="34">
        <v>226536.4</v>
      </c>
      <c r="J136" s="34">
        <f>226536.4-20013.02</f>
        <v>206523.38</v>
      </c>
      <c r="K136" s="12">
        <f>H136-I136</f>
        <v>25187.380000000005</v>
      </c>
      <c r="L136" s="45"/>
    </row>
    <row r="137" spans="1:12" s="4" customFormat="1" x14ac:dyDescent="0.25">
      <c r="A137" s="23"/>
      <c r="B137" s="38"/>
      <c r="C137" s="22"/>
      <c r="D137" s="37"/>
      <c r="E137" s="36"/>
      <c r="F137" s="34"/>
      <c r="G137" s="34"/>
      <c r="H137" s="34"/>
      <c r="I137" s="34"/>
      <c r="J137" s="34"/>
      <c r="K137" s="12"/>
      <c r="L137" s="5"/>
    </row>
    <row r="138" spans="1:12" s="4" customFormat="1" x14ac:dyDescent="0.25">
      <c r="A138" s="32">
        <v>30000</v>
      </c>
      <c r="B138" s="31" t="s">
        <v>117</v>
      </c>
      <c r="C138" s="30"/>
      <c r="D138" s="30"/>
      <c r="E138" s="29"/>
      <c r="F138" s="12">
        <f>SUM(F139,F154,F163,F176,F186,F209,F212,F227,F231)</f>
        <v>39238262.520000003</v>
      </c>
      <c r="G138" s="12">
        <f>SUM(G139,G154,G163,G176,G186,G209,G212,G227,G231)</f>
        <v>7283450.1900000004</v>
      </c>
      <c r="H138" s="12">
        <f>SUM(H139,H154,H163,H176,H186,H209,H212,H227,H231)</f>
        <v>46521712.710000001</v>
      </c>
      <c r="I138" s="12">
        <f>SUM(I139,I154,I163,I176,I186,I209,I212,I227,I231)</f>
        <v>43023395.25</v>
      </c>
      <c r="J138" s="12">
        <f>SUM(J139,J154,J163,J176,J186,J209,J212,J227,J231)</f>
        <v>36810533.999999993</v>
      </c>
      <c r="K138" s="12">
        <f>SUM(K139,K154,K163,K176,K186,K209,K212,K227,K231)</f>
        <v>3498317.4599999986</v>
      </c>
      <c r="L138" s="45"/>
    </row>
    <row r="139" spans="1:12" s="4" customFormat="1" x14ac:dyDescent="0.25">
      <c r="A139" s="23"/>
      <c r="B139" s="28">
        <v>31000</v>
      </c>
      <c r="C139" s="27" t="s">
        <v>116</v>
      </c>
      <c r="D139" s="26"/>
      <c r="E139" s="25"/>
      <c r="F139" s="24">
        <f>SUM(F140,F142,F144,F146,F148,F150,F152)</f>
        <v>13914422.400000002</v>
      </c>
      <c r="G139" s="24">
        <f>SUM(G140,G142,G144,G146,G148,G150,G152)</f>
        <v>7166409.1900000004</v>
      </c>
      <c r="H139" s="24">
        <f>SUM(H140,H142,H144,H146,H148,H150,H152)</f>
        <v>21080831.59</v>
      </c>
      <c r="I139" s="24">
        <f>SUM(I140,I142,I144,I146,I148,I150,I152)</f>
        <v>18624452.070000004</v>
      </c>
      <c r="J139" s="24">
        <f>SUM(J140,J142,J144,J146,J148,J150,J152)</f>
        <v>16291368.129999999</v>
      </c>
      <c r="K139" s="24">
        <f>SUM(K140,K142,K144,K146,K148,K150,K152)</f>
        <v>2456379.5199999986</v>
      </c>
      <c r="L139" s="45"/>
    </row>
    <row r="140" spans="1:12" s="4" customFormat="1" x14ac:dyDescent="0.25">
      <c r="A140" s="23"/>
      <c r="B140" s="22"/>
      <c r="C140" s="35">
        <v>31100</v>
      </c>
      <c r="D140" s="21" t="s">
        <v>115</v>
      </c>
      <c r="E140" s="20"/>
      <c r="F140" s="19">
        <f>SUM(F141)</f>
        <v>7917759.8399999999</v>
      </c>
      <c r="G140" s="19">
        <f>SUM(G141)</f>
        <v>6180489</v>
      </c>
      <c r="H140" s="19">
        <f>SUM(H141)</f>
        <v>14098248.84</v>
      </c>
      <c r="I140" s="19">
        <f>SUM(I141)</f>
        <v>11959152.710000001</v>
      </c>
      <c r="J140" s="19">
        <f>SUM(J141)</f>
        <v>11531329.710000001</v>
      </c>
      <c r="K140" s="19">
        <f>SUM(K141)</f>
        <v>2139096.129999999</v>
      </c>
      <c r="L140" s="46"/>
    </row>
    <row r="141" spans="1:12" s="4" customFormat="1" x14ac:dyDescent="0.25">
      <c r="A141" s="23"/>
      <c r="B141" s="38"/>
      <c r="C141" s="22"/>
      <c r="D141" s="37">
        <v>31101</v>
      </c>
      <c r="E141" s="36" t="s">
        <v>114</v>
      </c>
      <c r="F141" s="34">
        <v>7917759.8399999999</v>
      </c>
      <c r="G141" s="34">
        <v>6180489</v>
      </c>
      <c r="H141" s="34">
        <f>F141+G141</f>
        <v>14098248.84</v>
      </c>
      <c r="I141" s="34">
        <v>11959152.710000001</v>
      </c>
      <c r="J141" s="34">
        <f>11959152.71-427823</f>
        <v>11531329.710000001</v>
      </c>
      <c r="K141" s="12">
        <f>H141-I141</f>
        <v>2139096.129999999</v>
      </c>
      <c r="L141" s="45"/>
    </row>
    <row r="142" spans="1:12" s="4" customFormat="1" x14ac:dyDescent="0.25">
      <c r="A142" s="23"/>
      <c r="B142" s="22"/>
      <c r="C142" s="35">
        <v>31300</v>
      </c>
      <c r="D142" s="21" t="s">
        <v>113</v>
      </c>
      <c r="E142" s="20"/>
      <c r="F142" s="19">
        <f>SUM(F143)</f>
        <v>1191000</v>
      </c>
      <c r="G142" s="19">
        <f>SUM(G143)</f>
        <v>663215</v>
      </c>
      <c r="H142" s="19">
        <f>SUM(H143)</f>
        <v>1854215</v>
      </c>
      <c r="I142" s="19">
        <f>SUM(I143)</f>
        <v>1702297.8</v>
      </c>
      <c r="J142" s="19">
        <f>SUM(J143)</f>
        <v>989762.34000000008</v>
      </c>
      <c r="K142" s="19">
        <f>SUM(K143)</f>
        <v>151917.19999999995</v>
      </c>
      <c r="L142" s="5"/>
    </row>
    <row r="143" spans="1:12" s="4" customFormat="1" x14ac:dyDescent="0.25">
      <c r="A143" s="23"/>
      <c r="B143" s="38"/>
      <c r="C143" s="22"/>
      <c r="D143" s="37">
        <v>31301</v>
      </c>
      <c r="E143" s="36" t="s">
        <v>112</v>
      </c>
      <c r="F143" s="34">
        <v>1191000</v>
      </c>
      <c r="G143" s="34">
        <v>663215</v>
      </c>
      <c r="H143" s="34">
        <f>F143+G143</f>
        <v>1854215</v>
      </c>
      <c r="I143" s="34">
        <v>1702297.8</v>
      </c>
      <c r="J143" s="34">
        <f>1702297.8-712535.46</f>
        <v>989762.34000000008</v>
      </c>
      <c r="K143" s="12">
        <f>H143-I143</f>
        <v>151917.19999999995</v>
      </c>
      <c r="L143" s="45"/>
    </row>
    <row r="144" spans="1:12" s="4" customFormat="1" x14ac:dyDescent="0.25">
      <c r="A144" s="23"/>
      <c r="B144" s="22"/>
      <c r="C144" s="35">
        <v>31400</v>
      </c>
      <c r="D144" s="21" t="s">
        <v>111</v>
      </c>
      <c r="E144" s="20"/>
      <c r="F144" s="19">
        <f>SUM(F145)</f>
        <v>904410</v>
      </c>
      <c r="G144" s="19">
        <f>SUM(G145)</f>
        <v>104022.25</v>
      </c>
      <c r="H144" s="19">
        <f>SUM(H145)</f>
        <v>1008432.25</v>
      </c>
      <c r="I144" s="19">
        <f>SUM(I145)</f>
        <v>896842.28</v>
      </c>
      <c r="J144" s="19">
        <f>SUM(J145)</f>
        <v>896842.28</v>
      </c>
      <c r="K144" s="19">
        <f>SUM(K145)</f>
        <v>111589.96999999997</v>
      </c>
      <c r="L144" s="5"/>
    </row>
    <row r="145" spans="1:12" s="4" customFormat="1" x14ac:dyDescent="0.25">
      <c r="A145" s="23"/>
      <c r="B145" s="38"/>
      <c r="C145" s="22"/>
      <c r="D145" s="37">
        <v>31401</v>
      </c>
      <c r="E145" s="36" t="s">
        <v>110</v>
      </c>
      <c r="F145" s="34">
        <v>904410</v>
      </c>
      <c r="G145" s="34">
        <v>104022.25</v>
      </c>
      <c r="H145" s="34">
        <f>F145+G145</f>
        <v>1008432.25</v>
      </c>
      <c r="I145" s="34">
        <v>896842.28</v>
      </c>
      <c r="J145" s="34">
        <v>896842.28</v>
      </c>
      <c r="K145" s="12">
        <f>H145-I145</f>
        <v>111589.96999999997</v>
      </c>
      <c r="L145" s="45"/>
    </row>
    <row r="146" spans="1:12" s="4" customFormat="1" x14ac:dyDescent="0.25">
      <c r="A146" s="23"/>
      <c r="B146" s="22"/>
      <c r="C146" s="35">
        <v>31500</v>
      </c>
      <c r="D146" s="21" t="s">
        <v>109</v>
      </c>
      <c r="E146" s="20"/>
      <c r="F146" s="19">
        <f>SUM(F147)</f>
        <v>545874.96</v>
      </c>
      <c r="G146" s="19">
        <f>SUM(G147)</f>
        <v>0</v>
      </c>
      <c r="H146" s="19">
        <f>SUM(H147)</f>
        <v>545874.96</v>
      </c>
      <c r="I146" s="19">
        <f>SUM(I147)</f>
        <v>494756.43</v>
      </c>
      <c r="J146" s="19">
        <f>SUM(J147)</f>
        <v>481457.43</v>
      </c>
      <c r="K146" s="19">
        <f>SUM(K147)</f>
        <v>51118.52999999997</v>
      </c>
      <c r="L146" s="5"/>
    </row>
    <row r="147" spans="1:12" s="4" customFormat="1" x14ac:dyDescent="0.25">
      <c r="A147" s="23"/>
      <c r="B147" s="38"/>
      <c r="C147" s="22"/>
      <c r="D147" s="37">
        <v>31501</v>
      </c>
      <c r="E147" s="36" t="s">
        <v>108</v>
      </c>
      <c r="F147" s="34">
        <v>545874.96</v>
      </c>
      <c r="G147" s="34"/>
      <c r="H147" s="34">
        <f>F147+G147</f>
        <v>545874.96</v>
      </c>
      <c r="I147" s="34">
        <v>494756.43</v>
      </c>
      <c r="J147" s="34">
        <f>494756.43-13299</f>
        <v>481457.43</v>
      </c>
      <c r="K147" s="12">
        <f>H147-I147</f>
        <v>51118.52999999997</v>
      </c>
      <c r="L147" s="45"/>
    </row>
    <row r="148" spans="1:12" s="4" customFormat="1" x14ac:dyDescent="0.25">
      <c r="A148" s="23"/>
      <c r="B148" s="22"/>
      <c r="C148" s="35">
        <v>31600</v>
      </c>
      <c r="D148" s="21" t="s">
        <v>107</v>
      </c>
      <c r="E148" s="20"/>
      <c r="F148" s="19">
        <f>SUM(F149)</f>
        <v>2977.56</v>
      </c>
      <c r="G148" s="19">
        <f>SUM(G149)</f>
        <v>-2977.5</v>
      </c>
      <c r="H148" s="19">
        <f>SUM(H149)</f>
        <v>5.999999999994543E-2</v>
      </c>
      <c r="I148" s="19">
        <f>SUM(I149)</f>
        <v>0</v>
      </c>
      <c r="J148" s="19">
        <f>SUM(J149)</f>
        <v>0</v>
      </c>
      <c r="K148" s="19">
        <f>SUM(K149)</f>
        <v>5.999999999994543E-2</v>
      </c>
      <c r="L148" s="5"/>
    </row>
    <row r="149" spans="1:12" s="4" customFormat="1" ht="15" customHeight="1" x14ac:dyDescent="0.25">
      <c r="A149" s="23"/>
      <c r="B149" s="38"/>
      <c r="C149" s="22"/>
      <c r="D149" s="37">
        <v>31601</v>
      </c>
      <c r="E149" s="36" t="s">
        <v>107</v>
      </c>
      <c r="F149" s="34">
        <v>2977.56</v>
      </c>
      <c r="G149" s="34">
        <v>-2977.5</v>
      </c>
      <c r="H149" s="34">
        <f>F149+G149</f>
        <v>5.999999999994543E-2</v>
      </c>
      <c r="I149" s="34"/>
      <c r="J149" s="34"/>
      <c r="K149" s="12">
        <f>H149-I149</f>
        <v>5.999999999994543E-2</v>
      </c>
      <c r="L149" s="45"/>
    </row>
    <row r="150" spans="1:12" s="4" customFormat="1" x14ac:dyDescent="0.25">
      <c r="A150" s="23"/>
      <c r="B150" s="22"/>
      <c r="C150" s="35">
        <v>31700</v>
      </c>
      <c r="D150" s="21" t="s">
        <v>106</v>
      </c>
      <c r="E150" s="20"/>
      <c r="F150" s="19">
        <f>SUM(F151)</f>
        <v>2261400</v>
      </c>
      <c r="G150" s="19">
        <f>SUM(G151)</f>
        <v>221660.44</v>
      </c>
      <c r="H150" s="19">
        <f>SUM(H151)</f>
        <v>2483060.44</v>
      </c>
      <c r="I150" s="19">
        <f>SUM(I151)</f>
        <v>2483060.41</v>
      </c>
      <c r="J150" s="19">
        <f>SUM(J151)</f>
        <v>1655375.9200000002</v>
      </c>
      <c r="K150" s="19">
        <f>SUM(K151)</f>
        <v>2.9999999795109034E-2</v>
      </c>
      <c r="L150" s="5"/>
    </row>
    <row r="151" spans="1:12" s="4" customFormat="1" ht="30" x14ac:dyDescent="0.25">
      <c r="A151" s="23"/>
      <c r="B151" s="38"/>
      <c r="C151" s="22"/>
      <c r="D151" s="37">
        <v>31701</v>
      </c>
      <c r="E151" s="36" t="s">
        <v>106</v>
      </c>
      <c r="F151" s="34">
        <v>2261400</v>
      </c>
      <c r="G151" s="34">
        <v>221660.44</v>
      </c>
      <c r="H151" s="34">
        <f>F151+G151</f>
        <v>2483060.44</v>
      </c>
      <c r="I151" s="34">
        <v>2483060.41</v>
      </c>
      <c r="J151" s="34">
        <f>2483060.41-827684.49</f>
        <v>1655375.9200000002</v>
      </c>
      <c r="K151" s="12">
        <f>H151-I151</f>
        <v>2.9999999795109034E-2</v>
      </c>
      <c r="L151" s="45"/>
    </row>
    <row r="152" spans="1:12" s="4" customFormat="1" x14ac:dyDescent="0.25">
      <c r="A152" s="23"/>
      <c r="B152" s="22"/>
      <c r="C152" s="35">
        <v>31800</v>
      </c>
      <c r="D152" s="21" t="s">
        <v>105</v>
      </c>
      <c r="E152" s="20"/>
      <c r="F152" s="19">
        <f>SUM(F153)</f>
        <v>1091000.04</v>
      </c>
      <c r="G152" s="19">
        <f>SUM(G153)</f>
        <v>0</v>
      </c>
      <c r="H152" s="19">
        <f>SUM(H153)</f>
        <v>1091000.04</v>
      </c>
      <c r="I152" s="19">
        <f>SUM(I153)</f>
        <v>1088342.44</v>
      </c>
      <c r="J152" s="19">
        <f>SUM(J153)</f>
        <v>736600.45</v>
      </c>
      <c r="K152" s="19">
        <f>SUM(K153)</f>
        <v>2657.6000000000931</v>
      </c>
      <c r="L152" s="5"/>
    </row>
    <row r="153" spans="1:12" s="4" customFormat="1" x14ac:dyDescent="0.25">
      <c r="A153" s="23"/>
      <c r="B153" s="38"/>
      <c r="C153" s="22"/>
      <c r="D153" s="37">
        <v>31801</v>
      </c>
      <c r="E153" s="36" t="s">
        <v>104</v>
      </c>
      <c r="F153" s="34">
        <v>1091000.04</v>
      </c>
      <c r="G153" s="34"/>
      <c r="H153" s="34">
        <f>F153+G153</f>
        <v>1091000.04</v>
      </c>
      <c r="I153" s="34">
        <f>1101827.44-13485</f>
        <v>1088342.44</v>
      </c>
      <c r="J153" s="34">
        <f>1088342.44-351741.99</f>
        <v>736600.45</v>
      </c>
      <c r="K153" s="12">
        <f>H153-I153</f>
        <v>2657.6000000000931</v>
      </c>
      <c r="L153" s="45"/>
    </row>
    <row r="154" spans="1:12" s="4" customFormat="1" x14ac:dyDescent="0.25">
      <c r="A154" s="23"/>
      <c r="B154" s="28">
        <v>32000</v>
      </c>
      <c r="C154" s="27" t="s">
        <v>103</v>
      </c>
      <c r="D154" s="26"/>
      <c r="E154" s="25"/>
      <c r="F154" s="24">
        <f>SUM(F155,F157,F159,F161)</f>
        <v>10694237.399999999</v>
      </c>
      <c r="G154" s="24">
        <f>SUM(G155,G157,G159,G161)</f>
        <v>-328499.27</v>
      </c>
      <c r="H154" s="24">
        <f>SUM(H155,H157,H159,H161)</f>
        <v>10365738.129999999</v>
      </c>
      <c r="I154" s="24">
        <f>SUM(I155,I157,I159,I161)</f>
        <v>10338946.600000001</v>
      </c>
      <c r="J154" s="24">
        <f>SUM(J155,J157,J159,J161)</f>
        <v>9104730.8599999994</v>
      </c>
      <c r="K154" s="24">
        <f>SUM(K155,K157,K159,K161)</f>
        <v>26791.529999999155</v>
      </c>
      <c r="L154" s="45"/>
    </row>
    <row r="155" spans="1:12" s="4" customFormat="1" x14ac:dyDescent="0.25">
      <c r="A155" s="23"/>
      <c r="B155" s="22"/>
      <c r="C155" s="35">
        <v>32200</v>
      </c>
      <c r="D155" s="21" t="s">
        <v>102</v>
      </c>
      <c r="E155" s="20"/>
      <c r="F155" s="19">
        <f>SUM(F156)</f>
        <v>3523374.96</v>
      </c>
      <c r="G155" s="19">
        <f>SUM(G156)</f>
        <v>-180000</v>
      </c>
      <c r="H155" s="19">
        <f>SUM(H156)</f>
        <v>3343374.96</v>
      </c>
      <c r="I155" s="19">
        <f>SUM(I156)</f>
        <v>3342313.8800000004</v>
      </c>
      <c r="J155" s="19">
        <f>SUM(J156)</f>
        <v>3096145.9199999999</v>
      </c>
      <c r="K155" s="19">
        <f>SUM(K156)</f>
        <v>1061.0799999996088</v>
      </c>
      <c r="L155" s="5"/>
    </row>
    <row r="156" spans="1:12" s="4" customFormat="1" x14ac:dyDescent="0.25">
      <c r="A156" s="23"/>
      <c r="B156" s="38"/>
      <c r="C156" s="22"/>
      <c r="D156" s="37">
        <v>32201</v>
      </c>
      <c r="E156" s="36" t="s">
        <v>101</v>
      </c>
      <c r="F156" s="34">
        <v>3523374.96</v>
      </c>
      <c r="G156" s="34">
        <v>-180000</v>
      </c>
      <c r="H156" s="34">
        <f>F156+G156</f>
        <v>3343374.96</v>
      </c>
      <c r="I156" s="34">
        <f>3436450.64-35870.59-31556.85-26709.32</f>
        <v>3342313.8800000004</v>
      </c>
      <c r="J156" s="34">
        <f>3342313.88-246167.96</f>
        <v>3096145.9199999999</v>
      </c>
      <c r="K156" s="12">
        <f>H156-I156</f>
        <v>1061.0799999996088</v>
      </c>
      <c r="L156" s="45"/>
    </row>
    <row r="157" spans="1:12" s="4" customFormat="1" x14ac:dyDescent="0.25">
      <c r="A157" s="23"/>
      <c r="B157" s="22"/>
      <c r="C157" s="35">
        <v>32300</v>
      </c>
      <c r="D157" s="21" t="s">
        <v>100</v>
      </c>
      <c r="E157" s="20"/>
      <c r="F157" s="19">
        <f>SUM(F158)</f>
        <v>5454999.96</v>
      </c>
      <c r="G157" s="19">
        <f>SUM(G158)</f>
        <v>0</v>
      </c>
      <c r="H157" s="19">
        <f>SUM(H158)</f>
        <v>5454999.96</v>
      </c>
      <c r="I157" s="19">
        <f>SUM(I158)</f>
        <v>5451221.4000000004</v>
      </c>
      <c r="J157" s="19">
        <f>SUM(J158)</f>
        <v>4463173.62</v>
      </c>
      <c r="K157" s="19">
        <f>SUM(K158)</f>
        <v>3778.5599999995902</v>
      </c>
      <c r="L157" s="5"/>
    </row>
    <row r="158" spans="1:12" s="4" customFormat="1" ht="45" x14ac:dyDescent="0.25">
      <c r="A158" s="23"/>
      <c r="B158" s="38"/>
      <c r="C158" s="22"/>
      <c r="D158" s="37">
        <v>32301</v>
      </c>
      <c r="E158" s="36" t="s">
        <v>99</v>
      </c>
      <c r="F158" s="34">
        <v>5454999.96</v>
      </c>
      <c r="G158" s="34"/>
      <c r="H158" s="34">
        <f>F158+G158</f>
        <v>5454999.96</v>
      </c>
      <c r="I158" s="34">
        <v>5451221.4000000004</v>
      </c>
      <c r="J158" s="34">
        <v>4463173.62</v>
      </c>
      <c r="K158" s="12">
        <f>H158-I158</f>
        <v>3778.5599999995902</v>
      </c>
      <c r="L158" s="45"/>
    </row>
    <row r="159" spans="1:12" s="4" customFormat="1" x14ac:dyDescent="0.25">
      <c r="A159" s="23"/>
      <c r="B159" s="22"/>
      <c r="C159" s="35">
        <v>32700</v>
      </c>
      <c r="D159" s="21" t="s">
        <v>98</v>
      </c>
      <c r="E159" s="20"/>
      <c r="F159" s="19">
        <f>SUM(F160)</f>
        <v>1571949.96</v>
      </c>
      <c r="G159" s="19">
        <f>SUM(G160)</f>
        <v>-148499.26999999999</v>
      </c>
      <c r="H159" s="19">
        <f>SUM(H160)</f>
        <v>1423450.69</v>
      </c>
      <c r="I159" s="19">
        <f>SUM(I160)</f>
        <v>1423450.73</v>
      </c>
      <c r="J159" s="19">
        <f>SUM(J160)</f>
        <v>1423450.73</v>
      </c>
      <c r="K159" s="19">
        <f>SUM(K160)</f>
        <v>-4.0000000037252903E-2</v>
      </c>
      <c r="L159" s="5"/>
    </row>
    <row r="160" spans="1:12" s="4" customFormat="1" x14ac:dyDescent="0.25">
      <c r="A160" s="23"/>
      <c r="B160" s="38"/>
      <c r="C160" s="22"/>
      <c r="D160" s="37">
        <v>32701</v>
      </c>
      <c r="E160" s="36" t="s">
        <v>98</v>
      </c>
      <c r="F160" s="34">
        <v>1571949.96</v>
      </c>
      <c r="G160" s="34">
        <v>-148499.26999999999</v>
      </c>
      <c r="H160" s="34">
        <f>F160+G160</f>
        <v>1423450.69</v>
      </c>
      <c r="I160" s="34">
        <v>1423450.73</v>
      </c>
      <c r="J160" s="34">
        <v>1423450.73</v>
      </c>
      <c r="K160" s="12">
        <f>H160-I160</f>
        <v>-4.0000000037252903E-2</v>
      </c>
      <c r="L160" s="45"/>
    </row>
    <row r="161" spans="1:12" s="4" customFormat="1" x14ac:dyDescent="0.25">
      <c r="A161" s="23"/>
      <c r="B161" s="22"/>
      <c r="C161" s="35">
        <v>32900</v>
      </c>
      <c r="D161" s="21" t="s">
        <v>97</v>
      </c>
      <c r="E161" s="20"/>
      <c r="F161" s="19">
        <f>SUM(F162)</f>
        <v>143912.51999999999</v>
      </c>
      <c r="G161" s="19">
        <f>SUM(G162)</f>
        <v>0</v>
      </c>
      <c r="H161" s="19">
        <f>SUM(H162)</f>
        <v>143912.51999999999</v>
      </c>
      <c r="I161" s="19">
        <f>SUM(I162)</f>
        <v>121960.59</v>
      </c>
      <c r="J161" s="19">
        <f>SUM(J162)</f>
        <v>121960.59</v>
      </c>
      <c r="K161" s="19">
        <f>SUM(K162)</f>
        <v>21951.929999999993</v>
      </c>
      <c r="L161" s="5"/>
    </row>
    <row r="162" spans="1:12" s="4" customFormat="1" x14ac:dyDescent="0.25">
      <c r="A162" s="23"/>
      <c r="B162" s="38"/>
      <c r="C162" s="22"/>
      <c r="D162" s="37">
        <v>32901</v>
      </c>
      <c r="E162" s="36" t="s">
        <v>97</v>
      </c>
      <c r="F162" s="34">
        <v>143912.51999999999</v>
      </c>
      <c r="G162" s="34"/>
      <c r="H162" s="34">
        <f>F162+G162</f>
        <v>143912.51999999999</v>
      </c>
      <c r="I162" s="34">
        <v>121960.59</v>
      </c>
      <c r="J162" s="34">
        <v>121960.59</v>
      </c>
      <c r="K162" s="12">
        <f>H162-I162</f>
        <v>21951.929999999993</v>
      </c>
      <c r="L162" s="45"/>
    </row>
    <row r="163" spans="1:12" s="4" customFormat="1" x14ac:dyDescent="0.25">
      <c r="A163" s="23"/>
      <c r="B163" s="28">
        <v>33000</v>
      </c>
      <c r="C163" s="27" t="s">
        <v>96</v>
      </c>
      <c r="D163" s="26"/>
      <c r="E163" s="25"/>
      <c r="F163" s="24">
        <f>SUM(F164,F166,F168,F170,F174)</f>
        <v>5659212.5999999996</v>
      </c>
      <c r="G163" s="24">
        <f>SUM(G164,G166,G168,G170,G174)</f>
        <v>15000</v>
      </c>
      <c r="H163" s="24">
        <f>SUM(H164,H166,H168,H170,H174)</f>
        <v>5674212.5999999996</v>
      </c>
      <c r="I163" s="24">
        <f>SUM(I164,I166,I168,I170,I174)</f>
        <v>5567419.8099999996</v>
      </c>
      <c r="J163" s="24">
        <f>SUM(J164,J166,J168,J170,J174)</f>
        <v>4341444.04</v>
      </c>
      <c r="K163" s="24">
        <f>SUM(K164,K166,K168,K170,K174)</f>
        <v>106792.79000000011</v>
      </c>
      <c r="L163" s="45"/>
    </row>
    <row r="164" spans="1:12" s="4" customFormat="1" x14ac:dyDescent="0.25">
      <c r="A164" s="23"/>
      <c r="B164" s="22"/>
      <c r="C164" s="35">
        <v>33100</v>
      </c>
      <c r="D164" s="21" t="s">
        <v>95</v>
      </c>
      <c r="E164" s="20"/>
      <c r="F164" s="19">
        <f>SUM(F165)</f>
        <v>19850.04</v>
      </c>
      <c r="G164" s="19">
        <f>SUM(G165)</f>
        <v>15000</v>
      </c>
      <c r="H164" s="19">
        <f>SUM(H165)</f>
        <v>34850.04</v>
      </c>
      <c r="I164" s="19">
        <f>SUM(I165)</f>
        <v>26993.77</v>
      </c>
      <c r="J164" s="19">
        <f>SUM(J165)</f>
        <v>26993.77</v>
      </c>
      <c r="K164" s="19">
        <f>SUM(K165)</f>
        <v>7856.27</v>
      </c>
      <c r="L164" s="5"/>
    </row>
    <row r="165" spans="1:12" s="4" customFormat="1" ht="30" x14ac:dyDescent="0.25">
      <c r="A165" s="23"/>
      <c r="B165" s="38"/>
      <c r="C165" s="22"/>
      <c r="D165" s="37">
        <v>33101</v>
      </c>
      <c r="E165" s="36" t="s">
        <v>94</v>
      </c>
      <c r="F165" s="34">
        <v>19850.04</v>
      </c>
      <c r="G165" s="34">
        <v>15000</v>
      </c>
      <c r="H165" s="34">
        <f>F165+G165</f>
        <v>34850.04</v>
      </c>
      <c r="I165" s="34">
        <v>26993.77</v>
      </c>
      <c r="J165" s="34">
        <v>26993.77</v>
      </c>
      <c r="K165" s="12">
        <f>H165-I165</f>
        <v>7856.27</v>
      </c>
      <c r="L165" s="45"/>
    </row>
    <row r="166" spans="1:12" s="4" customFormat="1" hidden="1" x14ac:dyDescent="0.25">
      <c r="A166" s="23"/>
      <c r="B166" s="22"/>
      <c r="C166" s="35">
        <v>33200</v>
      </c>
      <c r="D166" s="21" t="s">
        <v>93</v>
      </c>
      <c r="E166" s="20"/>
      <c r="F166" s="19">
        <f>SUM(F167)</f>
        <v>0</v>
      </c>
      <c r="G166" s="19">
        <f>SUM(G167)</f>
        <v>0</v>
      </c>
      <c r="H166" s="19">
        <f>SUM(H167)</f>
        <v>0</v>
      </c>
      <c r="I166" s="19">
        <f>SUM(I167)</f>
        <v>0</v>
      </c>
      <c r="J166" s="19">
        <f>SUM(J167)</f>
        <v>0</v>
      </c>
      <c r="K166" s="19">
        <f>SUM(K167)</f>
        <v>0</v>
      </c>
      <c r="L166" s="5"/>
    </row>
    <row r="167" spans="1:12" s="4" customFormat="1" ht="30" hidden="1" x14ac:dyDescent="0.25">
      <c r="A167" s="23"/>
      <c r="B167" s="38"/>
      <c r="C167" s="22"/>
      <c r="D167" s="37">
        <v>33201</v>
      </c>
      <c r="E167" s="36" t="s">
        <v>92</v>
      </c>
      <c r="F167" s="34">
        <v>0</v>
      </c>
      <c r="G167" s="34"/>
      <c r="H167" s="34">
        <f>F167+G167</f>
        <v>0</v>
      </c>
      <c r="I167" s="34"/>
      <c r="J167" s="34"/>
      <c r="K167" s="12">
        <f>H167-I167</f>
        <v>0</v>
      </c>
      <c r="L167" s="45"/>
    </row>
    <row r="168" spans="1:12" s="4" customFormat="1" hidden="1" x14ac:dyDescent="0.25">
      <c r="A168" s="23"/>
      <c r="B168" s="22"/>
      <c r="C168" s="35">
        <v>33400</v>
      </c>
      <c r="D168" s="21" t="s">
        <v>91</v>
      </c>
      <c r="E168" s="20"/>
      <c r="F168" s="19">
        <f>SUM(F169)</f>
        <v>0</v>
      </c>
      <c r="G168" s="19">
        <f>SUM(G169)</f>
        <v>0</v>
      </c>
      <c r="H168" s="19">
        <f>SUM(H169)</f>
        <v>0</v>
      </c>
      <c r="I168" s="19">
        <f>SUM(I169)</f>
        <v>0</v>
      </c>
      <c r="J168" s="19">
        <f>SUM(J169)</f>
        <v>0</v>
      </c>
      <c r="K168" s="19">
        <f>SUM(K169)</f>
        <v>0</v>
      </c>
      <c r="L168" s="5"/>
    </row>
    <row r="169" spans="1:12" s="4" customFormat="1" hidden="1" x14ac:dyDescent="0.25">
      <c r="A169" s="23"/>
      <c r="B169" s="38"/>
      <c r="C169" s="22"/>
      <c r="D169" s="37">
        <v>33401</v>
      </c>
      <c r="E169" s="36" t="s">
        <v>91</v>
      </c>
      <c r="F169" s="34">
        <v>0</v>
      </c>
      <c r="G169" s="34"/>
      <c r="H169" s="34">
        <f>F169+G169</f>
        <v>0</v>
      </c>
      <c r="I169" s="34"/>
      <c r="J169" s="34"/>
      <c r="K169" s="12">
        <f>H169-I169</f>
        <v>0</v>
      </c>
      <c r="L169" s="45"/>
    </row>
    <row r="170" spans="1:12" s="4" customFormat="1" x14ac:dyDescent="0.25">
      <c r="A170" s="23"/>
      <c r="B170" s="22"/>
      <c r="C170" s="35">
        <v>33600</v>
      </c>
      <c r="D170" s="21" t="s">
        <v>90</v>
      </c>
      <c r="E170" s="20"/>
      <c r="F170" s="19">
        <f>SUM(F171:F173)</f>
        <v>550837.55999999994</v>
      </c>
      <c r="G170" s="19">
        <f>SUM(G171:G173)</f>
        <v>0</v>
      </c>
      <c r="H170" s="19">
        <f>SUM(H171:H173)</f>
        <v>550837.55999999994</v>
      </c>
      <c r="I170" s="19">
        <f>SUM(I171:I173)</f>
        <v>472889.2</v>
      </c>
      <c r="J170" s="19">
        <f>SUM(J171:J173)</f>
        <v>386497.43</v>
      </c>
      <c r="K170" s="19">
        <f>SUM(K171:K173)</f>
        <v>77948.359999999957</v>
      </c>
      <c r="L170" s="5"/>
    </row>
    <row r="171" spans="1:12" s="4" customFormat="1" ht="30" x14ac:dyDescent="0.25">
      <c r="A171" s="23"/>
      <c r="B171" s="38"/>
      <c r="C171" s="22"/>
      <c r="D171" s="37">
        <v>33601</v>
      </c>
      <c r="E171" s="36" t="s">
        <v>89</v>
      </c>
      <c r="F171" s="34">
        <v>12902.52</v>
      </c>
      <c r="G171" s="34"/>
      <c r="H171" s="34">
        <f>F171+G171</f>
        <v>12902.52</v>
      </c>
      <c r="I171" s="34">
        <v>9292.35</v>
      </c>
      <c r="J171" s="34">
        <v>9292.35</v>
      </c>
      <c r="K171" s="12">
        <f>H171-I171</f>
        <v>3610.17</v>
      </c>
      <c r="L171" s="45"/>
    </row>
    <row r="172" spans="1:12" s="4" customFormat="1" x14ac:dyDescent="0.25">
      <c r="A172" s="23"/>
      <c r="B172" s="38"/>
      <c r="C172" s="22"/>
      <c r="D172" s="37">
        <v>33602</v>
      </c>
      <c r="E172" s="36" t="s">
        <v>88</v>
      </c>
      <c r="F172" s="34">
        <v>26797.56</v>
      </c>
      <c r="G172" s="34"/>
      <c r="H172" s="34">
        <f>F172+G172</f>
        <v>26797.56</v>
      </c>
      <c r="I172" s="34">
        <v>12072.7</v>
      </c>
      <c r="J172" s="34">
        <v>12072.7</v>
      </c>
      <c r="K172" s="12">
        <f>H172-I172</f>
        <v>14724.86</v>
      </c>
      <c r="L172" s="45"/>
    </row>
    <row r="173" spans="1:12" s="4" customFormat="1" x14ac:dyDescent="0.25">
      <c r="A173" s="23"/>
      <c r="B173" s="38"/>
      <c r="C173" s="22"/>
      <c r="D173" s="37">
        <v>33604</v>
      </c>
      <c r="E173" s="36" t="s">
        <v>87</v>
      </c>
      <c r="F173" s="34">
        <v>511137.48</v>
      </c>
      <c r="G173" s="34"/>
      <c r="H173" s="34">
        <f>F173+G173</f>
        <v>511137.48</v>
      </c>
      <c r="I173" s="34">
        <f>435615.06+13485+2424.09</f>
        <v>451524.15</v>
      </c>
      <c r="J173" s="34">
        <f>451524.15-86391.77</f>
        <v>365132.38</v>
      </c>
      <c r="K173" s="12">
        <f>H173-I173</f>
        <v>59613.329999999958</v>
      </c>
      <c r="L173" s="45"/>
    </row>
    <row r="174" spans="1:12" s="4" customFormat="1" x14ac:dyDescent="0.25">
      <c r="A174" s="23"/>
      <c r="B174" s="22"/>
      <c r="C174" s="35">
        <v>33800</v>
      </c>
      <c r="D174" s="21" t="s">
        <v>86</v>
      </c>
      <c r="E174" s="20"/>
      <c r="F174" s="19">
        <f>SUM(F175)</f>
        <v>5088525</v>
      </c>
      <c r="G174" s="19">
        <f>SUM(G175)</f>
        <v>0</v>
      </c>
      <c r="H174" s="19">
        <f>SUM(H175)</f>
        <v>5088525</v>
      </c>
      <c r="I174" s="19">
        <f>SUM(I175)</f>
        <v>5067536.84</v>
      </c>
      <c r="J174" s="19">
        <f>SUM(J175)</f>
        <v>3927952.84</v>
      </c>
      <c r="K174" s="19">
        <f>SUM(K175)</f>
        <v>20988.160000000149</v>
      </c>
      <c r="L174" s="5"/>
    </row>
    <row r="175" spans="1:12" s="4" customFormat="1" x14ac:dyDescent="0.25">
      <c r="A175" s="23"/>
      <c r="B175" s="38"/>
      <c r="C175" s="22"/>
      <c r="D175" s="37">
        <v>33801</v>
      </c>
      <c r="E175" s="36" t="s">
        <v>85</v>
      </c>
      <c r="F175" s="34">
        <v>5088525</v>
      </c>
      <c r="G175" s="34"/>
      <c r="H175" s="34">
        <f>F175+G175</f>
        <v>5088525</v>
      </c>
      <c r="I175" s="34">
        <v>5067536.84</v>
      </c>
      <c r="J175" s="34">
        <v>3927952.84</v>
      </c>
      <c r="K175" s="12">
        <f>H175-I175</f>
        <v>20988.160000000149</v>
      </c>
      <c r="L175" s="45"/>
    </row>
    <row r="176" spans="1:12" s="4" customFormat="1" x14ac:dyDescent="0.25">
      <c r="A176" s="23"/>
      <c r="B176" s="28">
        <v>34000</v>
      </c>
      <c r="C176" s="27" t="s">
        <v>84</v>
      </c>
      <c r="D176" s="26"/>
      <c r="E176" s="25"/>
      <c r="F176" s="24">
        <f>SUM(F177,F180,F182,F184)</f>
        <v>681847.56</v>
      </c>
      <c r="G176" s="24">
        <f>SUM(G177,G180,G182,G184)</f>
        <v>11000</v>
      </c>
      <c r="H176" s="24">
        <f>SUM(H177,H180,H182,H184)</f>
        <v>692847.56</v>
      </c>
      <c r="I176" s="24">
        <f>SUM(I177,I180,I182,I184)</f>
        <v>666333.69000000006</v>
      </c>
      <c r="J176" s="24">
        <f>SUM(J177,J180,J182,J184)</f>
        <v>665557.06000000006</v>
      </c>
      <c r="K176" s="24">
        <f>SUM(K177,K180,K182,K184)</f>
        <v>26513.869999999988</v>
      </c>
      <c r="L176" s="45"/>
    </row>
    <row r="177" spans="1:12" s="4" customFormat="1" x14ac:dyDescent="0.25">
      <c r="A177" s="23"/>
      <c r="B177" s="22"/>
      <c r="C177" s="35">
        <v>34100</v>
      </c>
      <c r="D177" s="21" t="s">
        <v>83</v>
      </c>
      <c r="E177" s="20"/>
      <c r="F177" s="19">
        <f>SUM(F178:F179)</f>
        <v>24812.519999999997</v>
      </c>
      <c r="G177" s="19">
        <f>SUM(G178:G179)</f>
        <v>11000</v>
      </c>
      <c r="H177" s="19">
        <f>SUM(H178:H179)</f>
        <v>35812.519999999997</v>
      </c>
      <c r="I177" s="19">
        <f>SUM(I178:I179)</f>
        <v>26885.14</v>
      </c>
      <c r="J177" s="19">
        <f>SUM(J178:J179)</f>
        <v>26885.14</v>
      </c>
      <c r="K177" s="19">
        <f>SUM(K178:K179)</f>
        <v>8927.3799999999956</v>
      </c>
      <c r="L177" s="5"/>
    </row>
    <row r="178" spans="1:12" s="4" customFormat="1" ht="30" x14ac:dyDescent="0.25">
      <c r="A178" s="23"/>
      <c r="B178" s="38"/>
      <c r="C178" s="22"/>
      <c r="D178" s="37">
        <v>34101</v>
      </c>
      <c r="E178" s="36" t="s">
        <v>82</v>
      </c>
      <c r="F178" s="34">
        <v>9924.9599999999991</v>
      </c>
      <c r="G178" s="34"/>
      <c r="H178" s="34">
        <f>F178+G178</f>
        <v>9924.9599999999991</v>
      </c>
      <c r="I178" s="34">
        <f>10473.76-2424.09</f>
        <v>8049.67</v>
      </c>
      <c r="J178" s="34">
        <f>10473.76-2424.09</f>
        <v>8049.67</v>
      </c>
      <c r="K178" s="12">
        <f>H178-I178</f>
        <v>1875.2899999999991</v>
      </c>
      <c r="L178" s="45"/>
    </row>
    <row r="179" spans="1:12" s="4" customFormat="1" ht="30" x14ac:dyDescent="0.25">
      <c r="A179" s="23"/>
      <c r="B179" s="38"/>
      <c r="C179" s="22"/>
      <c r="D179" s="40">
        <v>34102</v>
      </c>
      <c r="E179" s="41" t="s">
        <v>81</v>
      </c>
      <c r="F179" s="34">
        <v>14887.56</v>
      </c>
      <c r="G179" s="34">
        <v>11000</v>
      </c>
      <c r="H179" s="34">
        <f>F179+G179</f>
        <v>25887.559999999998</v>
      </c>
      <c r="I179" s="34">
        <v>18835.47</v>
      </c>
      <c r="J179" s="34">
        <v>18835.47</v>
      </c>
      <c r="K179" s="12">
        <f>H179-I179</f>
        <v>7052.0899999999965</v>
      </c>
      <c r="L179" s="45"/>
    </row>
    <row r="180" spans="1:12" s="4" customFormat="1" hidden="1" x14ac:dyDescent="0.25">
      <c r="A180" s="23"/>
      <c r="B180" s="22"/>
      <c r="C180" s="35">
        <v>34300</v>
      </c>
      <c r="D180" s="21" t="s">
        <v>80</v>
      </c>
      <c r="E180" s="20"/>
      <c r="F180" s="19">
        <f>SUM(F181)</f>
        <v>0</v>
      </c>
      <c r="G180" s="19">
        <f>SUM(G181)</f>
        <v>0</v>
      </c>
      <c r="H180" s="19">
        <f>SUM(H181)</f>
        <v>0</v>
      </c>
      <c r="I180" s="19">
        <f>SUM(I181)</f>
        <v>0</v>
      </c>
      <c r="J180" s="19">
        <f>SUM(J181)</f>
        <v>0</v>
      </c>
      <c r="K180" s="19">
        <f>SUM(K181)</f>
        <v>0</v>
      </c>
      <c r="L180" s="5"/>
    </row>
    <row r="181" spans="1:12" s="4" customFormat="1" hidden="1" x14ac:dyDescent="0.25">
      <c r="A181" s="23"/>
      <c r="B181" s="38"/>
      <c r="C181" s="22"/>
      <c r="D181" s="37">
        <v>34302</v>
      </c>
      <c r="E181" s="36" t="s">
        <v>79</v>
      </c>
      <c r="F181" s="34">
        <v>0</v>
      </c>
      <c r="G181" s="34"/>
      <c r="H181" s="34">
        <f>F181+G181</f>
        <v>0</v>
      </c>
      <c r="I181" s="34"/>
      <c r="J181" s="34"/>
      <c r="K181" s="12">
        <f>H181-I181</f>
        <v>0</v>
      </c>
      <c r="L181" s="45"/>
    </row>
    <row r="182" spans="1:12" s="4" customFormat="1" x14ac:dyDescent="0.25">
      <c r="A182" s="23"/>
      <c r="B182" s="22"/>
      <c r="C182" s="35">
        <v>34400</v>
      </c>
      <c r="D182" s="21" t="s">
        <v>78</v>
      </c>
      <c r="E182" s="20"/>
      <c r="F182" s="19">
        <f>SUM(F183)</f>
        <v>11910</v>
      </c>
      <c r="G182" s="19">
        <f>SUM(G183)</f>
        <v>0</v>
      </c>
      <c r="H182" s="19">
        <f>SUM(H183)</f>
        <v>11910</v>
      </c>
      <c r="I182" s="19">
        <f>SUM(I183)</f>
        <v>0</v>
      </c>
      <c r="J182" s="19">
        <f>SUM(J183)</f>
        <v>0</v>
      </c>
      <c r="K182" s="19">
        <f>SUM(K183)</f>
        <v>11910</v>
      </c>
      <c r="L182" s="5"/>
    </row>
    <row r="183" spans="1:12" s="4" customFormat="1" ht="30" x14ac:dyDescent="0.25">
      <c r="A183" s="23"/>
      <c r="B183" s="38"/>
      <c r="C183" s="22"/>
      <c r="D183" s="37">
        <v>34401</v>
      </c>
      <c r="E183" s="36" t="s">
        <v>78</v>
      </c>
      <c r="F183" s="34">
        <v>11910</v>
      </c>
      <c r="G183" s="34"/>
      <c r="H183" s="34">
        <f>F183+G183</f>
        <v>11910</v>
      </c>
      <c r="I183" s="34"/>
      <c r="J183" s="34"/>
      <c r="K183" s="12">
        <f>H183-I183</f>
        <v>11910</v>
      </c>
      <c r="L183" s="45"/>
    </row>
    <row r="184" spans="1:12" s="4" customFormat="1" x14ac:dyDescent="0.25">
      <c r="A184" s="23"/>
      <c r="B184" s="22"/>
      <c r="C184" s="35">
        <v>34500</v>
      </c>
      <c r="D184" s="21" t="s">
        <v>77</v>
      </c>
      <c r="E184" s="20"/>
      <c r="F184" s="19">
        <f>SUM(F185)</f>
        <v>645125.04</v>
      </c>
      <c r="G184" s="19">
        <f>SUM(G185)</f>
        <v>0</v>
      </c>
      <c r="H184" s="19">
        <f>SUM(H185)</f>
        <v>645125.04</v>
      </c>
      <c r="I184" s="19">
        <f>SUM(I185)</f>
        <v>639448.55000000005</v>
      </c>
      <c r="J184" s="19">
        <f>SUM(J185)</f>
        <v>638671.92000000004</v>
      </c>
      <c r="K184" s="19">
        <f>SUM(K185)</f>
        <v>5676.4899999999907</v>
      </c>
      <c r="L184" s="5"/>
    </row>
    <row r="185" spans="1:12" s="4" customFormat="1" x14ac:dyDescent="0.25">
      <c r="A185" s="23"/>
      <c r="B185" s="38"/>
      <c r="C185" s="22"/>
      <c r="D185" s="37">
        <v>34501</v>
      </c>
      <c r="E185" s="36" t="s">
        <v>76</v>
      </c>
      <c r="F185" s="34">
        <v>645125.04</v>
      </c>
      <c r="G185" s="34"/>
      <c r="H185" s="34">
        <f>F185+G185</f>
        <v>645125.04</v>
      </c>
      <c r="I185" s="34">
        <v>639448.55000000005</v>
      </c>
      <c r="J185" s="34">
        <f>639448.55-776.63</f>
        <v>638671.92000000004</v>
      </c>
      <c r="K185" s="12">
        <f>H185-I185</f>
        <v>5676.4899999999907</v>
      </c>
      <c r="L185" s="45"/>
    </row>
    <row r="186" spans="1:12" s="4" customFormat="1" x14ac:dyDescent="0.25">
      <c r="A186" s="23"/>
      <c r="B186" s="28">
        <v>35000</v>
      </c>
      <c r="C186" s="27" t="s">
        <v>75</v>
      </c>
      <c r="D186" s="26"/>
      <c r="E186" s="25"/>
      <c r="F186" s="24">
        <f>SUM(F187,F189,F191,F193,F195,F197,F202,F206)</f>
        <v>6735759.9600000009</v>
      </c>
      <c r="G186" s="24">
        <f>SUM(G187,G189,G191,G193,G195,G197,G202,G206)</f>
        <v>188204.86</v>
      </c>
      <c r="H186" s="24">
        <f>SUM(H187,H189,H191,H193,H195,H197,H202,H206)</f>
        <v>6923964.8200000003</v>
      </c>
      <c r="I186" s="24">
        <f>SUM(I187,I189,I191,I193,I195,I197,I202,I206)</f>
        <v>6272817.7400000002</v>
      </c>
      <c r="J186" s="24">
        <f>SUM(J187,J189,J191,J193,J195,J197,J202,J206)</f>
        <v>4943014.07</v>
      </c>
      <c r="K186" s="24">
        <f>SUM(K187,K189,K191,K193,K195,K197,K202,K206)</f>
        <v>651147.07999999984</v>
      </c>
      <c r="L186" s="45"/>
    </row>
    <row r="187" spans="1:12" s="4" customFormat="1" x14ac:dyDescent="0.25">
      <c r="A187" s="23"/>
      <c r="B187" s="22"/>
      <c r="C187" s="35">
        <v>35100</v>
      </c>
      <c r="D187" s="21" t="s">
        <v>74</v>
      </c>
      <c r="E187" s="20"/>
      <c r="F187" s="19">
        <f>SUM(F188)</f>
        <v>595500</v>
      </c>
      <c r="G187" s="19">
        <f>SUM(G188)</f>
        <v>784805.12</v>
      </c>
      <c r="H187" s="19">
        <f>SUM(H188)</f>
        <v>1380305.12</v>
      </c>
      <c r="I187" s="19">
        <f>SUM(I188)</f>
        <v>1252598.6100000001</v>
      </c>
      <c r="J187" s="19">
        <f>SUM(J188)</f>
        <v>985594.62000000011</v>
      </c>
      <c r="K187" s="19">
        <f>SUM(K188)</f>
        <v>127706.51000000001</v>
      </c>
      <c r="L187" s="5"/>
    </row>
    <row r="188" spans="1:12" s="4" customFormat="1" ht="30" x14ac:dyDescent="0.25">
      <c r="A188" s="23"/>
      <c r="B188" s="38"/>
      <c r="C188" s="22"/>
      <c r="D188" s="37">
        <v>35101</v>
      </c>
      <c r="E188" s="36" t="s">
        <v>73</v>
      </c>
      <c r="F188" s="34">
        <v>595500</v>
      </c>
      <c r="G188" s="34">
        <v>784805.12</v>
      </c>
      <c r="H188" s="34">
        <f>F188+G188</f>
        <v>1380305.12</v>
      </c>
      <c r="I188" s="34">
        <f>997841.29+254757.32</f>
        <v>1252598.6100000001</v>
      </c>
      <c r="J188" s="34">
        <f>1252598.61-267003.99</f>
        <v>985594.62000000011</v>
      </c>
      <c r="K188" s="12">
        <f>H188-I188</f>
        <v>127706.51000000001</v>
      </c>
      <c r="L188" s="45"/>
    </row>
    <row r="189" spans="1:12" s="4" customFormat="1" x14ac:dyDescent="0.25">
      <c r="A189" s="23"/>
      <c r="B189" s="22"/>
      <c r="C189" s="35">
        <v>35200</v>
      </c>
      <c r="D189" s="21" t="s">
        <v>72</v>
      </c>
      <c r="E189" s="20"/>
      <c r="F189" s="19">
        <f>SUM(F190)</f>
        <v>74437.56</v>
      </c>
      <c r="G189" s="19">
        <f>SUM(G190)</f>
        <v>0</v>
      </c>
      <c r="H189" s="19">
        <f>SUM(H190)</f>
        <v>74437.56</v>
      </c>
      <c r="I189" s="19">
        <f>SUM(I190)</f>
        <v>74319.820000000007</v>
      </c>
      <c r="J189" s="19">
        <f>SUM(J190)</f>
        <v>62248.950000000004</v>
      </c>
      <c r="K189" s="19">
        <f>SUM(K190)</f>
        <v>117.73999999999069</v>
      </c>
      <c r="L189" s="5"/>
    </row>
    <row r="190" spans="1:12" s="4" customFormat="1" ht="45" x14ac:dyDescent="0.25">
      <c r="A190" s="23"/>
      <c r="B190" s="38"/>
      <c r="C190" s="22"/>
      <c r="D190" s="37">
        <v>35201</v>
      </c>
      <c r="E190" s="36" t="s">
        <v>71</v>
      </c>
      <c r="F190" s="34">
        <v>74437.56</v>
      </c>
      <c r="G190" s="34"/>
      <c r="H190" s="34">
        <f>F190+G190</f>
        <v>74437.56</v>
      </c>
      <c r="I190" s="34">
        <v>74319.820000000007</v>
      </c>
      <c r="J190" s="34">
        <f>74319.82-12070.87</f>
        <v>62248.950000000004</v>
      </c>
      <c r="K190" s="12">
        <f>H190-I190</f>
        <v>117.73999999999069</v>
      </c>
      <c r="L190" s="45"/>
    </row>
    <row r="191" spans="1:12" s="4" customFormat="1" x14ac:dyDescent="0.25">
      <c r="A191" s="23"/>
      <c r="B191" s="22"/>
      <c r="C191" s="35">
        <v>35300</v>
      </c>
      <c r="D191" s="21" t="s">
        <v>70</v>
      </c>
      <c r="E191" s="20"/>
      <c r="F191" s="19">
        <f>SUM(F192)</f>
        <v>1240625.04</v>
      </c>
      <c r="G191" s="19">
        <f>SUM(G192)</f>
        <v>-327000</v>
      </c>
      <c r="H191" s="19">
        <f>SUM(H192)</f>
        <v>913625.04</v>
      </c>
      <c r="I191" s="19">
        <f>SUM(I192)</f>
        <v>913616</v>
      </c>
      <c r="J191" s="19">
        <f>SUM(J192)</f>
        <v>807592</v>
      </c>
      <c r="K191" s="19">
        <f>SUM(K192)</f>
        <v>9.0400000000372529</v>
      </c>
      <c r="L191" s="5"/>
    </row>
    <row r="192" spans="1:12" s="4" customFormat="1" ht="45" x14ac:dyDescent="0.25">
      <c r="A192" s="23"/>
      <c r="B192" s="38"/>
      <c r="C192" s="22"/>
      <c r="D192" s="37">
        <v>35301</v>
      </c>
      <c r="E192" s="36" t="s">
        <v>70</v>
      </c>
      <c r="F192" s="34">
        <v>1240625.04</v>
      </c>
      <c r="G192" s="34">
        <v>-327000</v>
      </c>
      <c r="H192" s="34">
        <f>F192+G192</f>
        <v>913625.04</v>
      </c>
      <c r="I192" s="34">
        <v>913616</v>
      </c>
      <c r="J192" s="34">
        <f>913616-106024</f>
        <v>807592</v>
      </c>
      <c r="K192" s="12">
        <f>H192-I192</f>
        <v>9.0400000000372529</v>
      </c>
      <c r="L192" s="45"/>
    </row>
    <row r="193" spans="1:12" s="4" customFormat="1" x14ac:dyDescent="0.25">
      <c r="A193" s="23"/>
      <c r="B193" s="22"/>
      <c r="C193" s="35">
        <v>35400</v>
      </c>
      <c r="D193" s="21" t="s">
        <v>69</v>
      </c>
      <c r="E193" s="20"/>
      <c r="F193" s="19">
        <f>SUM(F194)</f>
        <v>69474.960000000006</v>
      </c>
      <c r="G193" s="19">
        <f>SUM(G194)</f>
        <v>0</v>
      </c>
      <c r="H193" s="19">
        <f>SUM(H194)</f>
        <v>69474.960000000006</v>
      </c>
      <c r="I193" s="19">
        <f>SUM(I194)</f>
        <v>34916</v>
      </c>
      <c r="J193" s="19">
        <f>SUM(J194)</f>
        <v>34916</v>
      </c>
      <c r="K193" s="19">
        <f>SUM(K194)</f>
        <v>34558.960000000006</v>
      </c>
      <c r="L193" s="5"/>
    </row>
    <row r="194" spans="1:12" s="4" customFormat="1" ht="45" x14ac:dyDescent="0.25">
      <c r="A194" s="23"/>
      <c r="B194" s="38"/>
      <c r="C194" s="22"/>
      <c r="D194" s="37">
        <v>35401</v>
      </c>
      <c r="E194" s="36" t="s">
        <v>69</v>
      </c>
      <c r="F194" s="34">
        <v>69474.960000000006</v>
      </c>
      <c r="G194" s="34"/>
      <c r="H194" s="34">
        <f>F194+G194</f>
        <v>69474.960000000006</v>
      </c>
      <c r="I194" s="34">
        <v>34916</v>
      </c>
      <c r="J194" s="34">
        <v>34916</v>
      </c>
      <c r="K194" s="12">
        <f>H194-I194</f>
        <v>34558.960000000006</v>
      </c>
      <c r="L194" s="45"/>
    </row>
    <row r="195" spans="1:12" s="4" customFormat="1" x14ac:dyDescent="0.25">
      <c r="A195" s="23"/>
      <c r="B195" s="22"/>
      <c r="C195" s="35">
        <v>35500</v>
      </c>
      <c r="D195" s="21" t="s">
        <v>68</v>
      </c>
      <c r="E195" s="20"/>
      <c r="F195" s="19">
        <f>SUM(F196)</f>
        <v>248124.96</v>
      </c>
      <c r="G195" s="19">
        <f>SUM(G196)</f>
        <v>21388.53</v>
      </c>
      <c r="H195" s="19">
        <f>SUM(H196)</f>
        <v>269513.49</v>
      </c>
      <c r="I195" s="19">
        <f>SUM(I196)</f>
        <v>246989.76</v>
      </c>
      <c r="J195" s="19">
        <f>SUM(J196)</f>
        <v>239783.96000000002</v>
      </c>
      <c r="K195" s="19">
        <f>SUM(K196)</f>
        <v>22523.729999999981</v>
      </c>
      <c r="L195" s="5"/>
    </row>
    <row r="196" spans="1:12" s="4" customFormat="1" ht="30" x14ac:dyDescent="0.25">
      <c r="A196" s="23"/>
      <c r="B196" s="38"/>
      <c r="C196" s="22"/>
      <c r="D196" s="37">
        <v>35501</v>
      </c>
      <c r="E196" s="36" t="s">
        <v>68</v>
      </c>
      <c r="F196" s="34">
        <v>248124.96</v>
      </c>
      <c r="G196" s="34">
        <v>21388.53</v>
      </c>
      <c r="H196" s="34">
        <f>F196+G196</f>
        <v>269513.49</v>
      </c>
      <c r="I196" s="34">
        <v>246989.76</v>
      </c>
      <c r="J196" s="34">
        <f>246989.76-7205.8</f>
        <v>239783.96000000002</v>
      </c>
      <c r="K196" s="12">
        <f>H196-I196</f>
        <v>22523.729999999981</v>
      </c>
      <c r="L196" s="45"/>
    </row>
    <row r="197" spans="1:12" s="4" customFormat="1" x14ac:dyDescent="0.25">
      <c r="A197" s="23"/>
      <c r="B197" s="22"/>
      <c r="C197" s="35">
        <v>35700</v>
      </c>
      <c r="D197" s="21" t="s">
        <v>67</v>
      </c>
      <c r="E197" s="20"/>
      <c r="F197" s="19">
        <f>SUM(F198:F201)</f>
        <v>2481249.96</v>
      </c>
      <c r="G197" s="19">
        <f>SUM(G198:G201)</f>
        <v>-436827.4</v>
      </c>
      <c r="H197" s="19">
        <f>SUM(H198:H201)</f>
        <v>2044422.56</v>
      </c>
      <c r="I197" s="19">
        <f>SUM(I198:I201)</f>
        <v>1776537.8900000001</v>
      </c>
      <c r="J197" s="19">
        <f>SUM(J198:J201)</f>
        <v>1328274.1999999997</v>
      </c>
      <c r="K197" s="19">
        <f>SUM(K198:K201)</f>
        <v>267884.66999999981</v>
      </c>
      <c r="L197" s="5"/>
    </row>
    <row r="198" spans="1:12" s="4" customFormat="1" ht="45" x14ac:dyDescent="0.25">
      <c r="A198" s="23"/>
      <c r="B198" s="38"/>
      <c r="C198" s="22"/>
      <c r="D198" s="37">
        <v>35704</v>
      </c>
      <c r="E198" s="36" t="s">
        <v>66</v>
      </c>
      <c r="F198" s="34">
        <v>1786500</v>
      </c>
      <c r="G198" s="34">
        <v>-681000</v>
      </c>
      <c r="H198" s="34">
        <f>F198+G198</f>
        <v>1105500</v>
      </c>
      <c r="I198" s="34">
        <f>1265833.48-82638.4-40108.16-37874</f>
        <v>1105212.9200000002</v>
      </c>
      <c r="J198" s="34">
        <f>1105212.92-218891.3</f>
        <v>886321.61999999988</v>
      </c>
      <c r="K198" s="12">
        <f>H198-I198</f>
        <v>287.07999999984168</v>
      </c>
      <c r="L198" s="45"/>
    </row>
    <row r="199" spans="1:12" s="4" customFormat="1" ht="45" x14ac:dyDescent="0.25">
      <c r="A199" s="23"/>
      <c r="B199" s="38"/>
      <c r="C199" s="22"/>
      <c r="D199" s="37">
        <v>35705</v>
      </c>
      <c r="E199" s="36" t="s">
        <v>65</v>
      </c>
      <c r="F199" s="34">
        <v>69474.960000000006</v>
      </c>
      <c r="G199" s="34">
        <v>20000</v>
      </c>
      <c r="H199" s="34">
        <f>F199+G199</f>
        <v>89474.96</v>
      </c>
      <c r="I199" s="34">
        <v>62999.01</v>
      </c>
      <c r="J199" s="34">
        <v>62999.01</v>
      </c>
      <c r="K199" s="12">
        <f>H199-I199</f>
        <v>26475.950000000004</v>
      </c>
      <c r="L199" s="45"/>
    </row>
    <row r="200" spans="1:12" s="4" customFormat="1" ht="45" x14ac:dyDescent="0.25">
      <c r="A200" s="23"/>
      <c r="B200" s="38"/>
      <c r="C200" s="22"/>
      <c r="D200" s="37">
        <v>35706</v>
      </c>
      <c r="E200" s="36" t="s">
        <v>64</v>
      </c>
      <c r="F200" s="34">
        <v>545874.96</v>
      </c>
      <c r="G200" s="34">
        <v>224172.6</v>
      </c>
      <c r="H200" s="34">
        <f>F200+G200</f>
        <v>770047.55999999994</v>
      </c>
      <c r="I200" s="34">
        <v>539302.48</v>
      </c>
      <c r="J200" s="34">
        <f>539302.48-170092.91</f>
        <v>369209.56999999995</v>
      </c>
      <c r="K200" s="12">
        <f>H200-I200</f>
        <v>230745.07999999996</v>
      </c>
      <c r="L200" s="45"/>
    </row>
    <row r="201" spans="1:12" s="4" customFormat="1" ht="30" x14ac:dyDescent="0.25">
      <c r="A201" s="23"/>
      <c r="B201" s="38"/>
      <c r="C201" s="22"/>
      <c r="D201" s="37">
        <v>35708</v>
      </c>
      <c r="E201" s="36" t="s">
        <v>63</v>
      </c>
      <c r="F201" s="34">
        <v>79400.039999999994</v>
      </c>
      <c r="G201" s="34"/>
      <c r="H201" s="34">
        <f>F201+G201</f>
        <v>79400.039999999994</v>
      </c>
      <c r="I201" s="34">
        <v>69023.48</v>
      </c>
      <c r="J201" s="34">
        <f>69023.48-59279.48</f>
        <v>9743.9999999999927</v>
      </c>
      <c r="K201" s="12">
        <f>H201-I201</f>
        <v>10376.559999999998</v>
      </c>
      <c r="L201" s="45"/>
    </row>
    <row r="202" spans="1:12" s="4" customFormat="1" x14ac:dyDescent="0.25">
      <c r="A202" s="23"/>
      <c r="B202" s="22"/>
      <c r="C202" s="35">
        <v>35800</v>
      </c>
      <c r="D202" s="21" t="s">
        <v>62</v>
      </c>
      <c r="E202" s="20"/>
      <c r="F202" s="19">
        <f>SUM(F203:F205)</f>
        <v>1723635</v>
      </c>
      <c r="G202" s="19">
        <f>SUM(G203:G205)</f>
        <v>130000</v>
      </c>
      <c r="H202" s="19">
        <f>SUM(H203:H205)</f>
        <v>1853635</v>
      </c>
      <c r="I202" s="19">
        <f>SUM(I203:I205)</f>
        <v>1661927.26</v>
      </c>
      <c r="J202" s="19">
        <f>SUM(J203:J205)</f>
        <v>1172691.94</v>
      </c>
      <c r="K202" s="19">
        <f>SUM(K203:K205)</f>
        <v>191707.74</v>
      </c>
      <c r="L202" s="5"/>
    </row>
    <row r="203" spans="1:12" s="4" customFormat="1" x14ac:dyDescent="0.25">
      <c r="A203" s="23"/>
      <c r="B203" s="38"/>
      <c r="C203" s="22"/>
      <c r="D203" s="37">
        <v>35801</v>
      </c>
      <c r="E203" s="36" t="s">
        <v>61</v>
      </c>
      <c r="F203" s="34">
        <v>592185</v>
      </c>
      <c r="G203" s="34">
        <v>130000</v>
      </c>
      <c r="H203" s="34">
        <f>F203+G203</f>
        <v>722185</v>
      </c>
      <c r="I203" s="34">
        <f>714879+1751.6</f>
        <v>716630.6</v>
      </c>
      <c r="J203" s="34">
        <f>716630.6-319232</f>
        <v>397398.6</v>
      </c>
      <c r="K203" s="12">
        <f>H203-I203</f>
        <v>5554.4000000000233</v>
      </c>
      <c r="L203" s="45"/>
    </row>
    <row r="204" spans="1:12" s="4" customFormat="1" hidden="1" x14ac:dyDescent="0.25">
      <c r="A204" s="23"/>
      <c r="B204" s="38"/>
      <c r="C204" s="22"/>
      <c r="D204" s="37">
        <v>35802</v>
      </c>
      <c r="E204" s="36" t="s">
        <v>60</v>
      </c>
      <c r="F204" s="34">
        <v>0</v>
      </c>
      <c r="G204" s="34"/>
      <c r="H204" s="34">
        <f>F204+G204</f>
        <v>0</v>
      </c>
      <c r="I204" s="34"/>
      <c r="J204" s="34"/>
      <c r="K204" s="12">
        <f>H204-I204</f>
        <v>0</v>
      </c>
      <c r="L204" s="45"/>
    </row>
    <row r="205" spans="1:12" s="4" customFormat="1" ht="30" x14ac:dyDescent="0.25">
      <c r="A205" s="23"/>
      <c r="B205" s="38"/>
      <c r="C205" s="22"/>
      <c r="D205" s="37">
        <v>35804</v>
      </c>
      <c r="E205" s="36" t="s">
        <v>59</v>
      </c>
      <c r="F205" s="34">
        <v>1131450</v>
      </c>
      <c r="G205" s="34"/>
      <c r="H205" s="34">
        <f>F205+G205</f>
        <v>1131450</v>
      </c>
      <c r="I205" s="34">
        <v>945296.66</v>
      </c>
      <c r="J205" s="34">
        <f>945296.66-170003.32</f>
        <v>775293.34000000008</v>
      </c>
      <c r="K205" s="12">
        <f>H205-I205</f>
        <v>186153.33999999997</v>
      </c>
      <c r="L205" s="45"/>
    </row>
    <row r="206" spans="1:12" s="4" customFormat="1" x14ac:dyDescent="0.25">
      <c r="A206" s="23"/>
      <c r="B206" s="22"/>
      <c r="C206" s="35">
        <v>35900</v>
      </c>
      <c r="D206" s="21" t="s">
        <v>58</v>
      </c>
      <c r="E206" s="20"/>
      <c r="F206" s="19">
        <f>SUM(F207:F208)</f>
        <v>302712.48</v>
      </c>
      <c r="G206" s="19">
        <f>SUM(G207:G208)</f>
        <v>15838.61</v>
      </c>
      <c r="H206" s="19">
        <f>SUM(H207:H208)</f>
        <v>318551.08999999997</v>
      </c>
      <c r="I206" s="19">
        <f>SUM(I207:I208)</f>
        <v>311912.40000000002</v>
      </c>
      <c r="J206" s="19">
        <f>SUM(J207:J208)</f>
        <v>311912.40000000002</v>
      </c>
      <c r="K206" s="19">
        <f>SUM(K207:K208)</f>
        <v>6638.6899999999623</v>
      </c>
      <c r="L206" s="5"/>
    </row>
    <row r="207" spans="1:12" s="4" customFormat="1" x14ac:dyDescent="0.25">
      <c r="A207" s="23"/>
      <c r="B207" s="38"/>
      <c r="C207" s="22"/>
      <c r="D207" s="37">
        <v>35901</v>
      </c>
      <c r="E207" s="36" t="s">
        <v>57</v>
      </c>
      <c r="F207" s="34">
        <v>4962.4799999999996</v>
      </c>
      <c r="G207" s="34"/>
      <c r="H207" s="34">
        <f>F207+G207</f>
        <v>4962.4799999999996</v>
      </c>
      <c r="I207" s="34"/>
      <c r="J207" s="34"/>
      <c r="K207" s="12">
        <f>H207-I207</f>
        <v>4962.4799999999996</v>
      </c>
      <c r="L207" s="45"/>
    </row>
    <row r="208" spans="1:12" s="4" customFormat="1" x14ac:dyDescent="0.25">
      <c r="A208" s="23"/>
      <c r="B208" s="38"/>
      <c r="C208" s="22"/>
      <c r="D208" s="37">
        <v>35902</v>
      </c>
      <c r="E208" s="36" t="s">
        <v>56</v>
      </c>
      <c r="F208" s="34">
        <v>297750</v>
      </c>
      <c r="G208" s="34">
        <v>15838.61</v>
      </c>
      <c r="H208" s="34">
        <f>F208+G208</f>
        <v>313588.61</v>
      </c>
      <c r="I208" s="34">
        <f>313664-1751.6</f>
        <v>311912.40000000002</v>
      </c>
      <c r="J208" s="34">
        <f>313664-1751.6</f>
        <v>311912.40000000002</v>
      </c>
      <c r="K208" s="12">
        <f>H208-I208</f>
        <v>1676.2099999999627</v>
      </c>
      <c r="L208" s="45"/>
    </row>
    <row r="209" spans="1:12" s="4" customFormat="1" x14ac:dyDescent="0.25">
      <c r="A209" s="23"/>
      <c r="B209" s="28">
        <v>36000</v>
      </c>
      <c r="C209" s="27" t="s">
        <v>55</v>
      </c>
      <c r="D209" s="26"/>
      <c r="E209" s="25"/>
      <c r="F209" s="24">
        <f>SUM(F210)</f>
        <v>197000.04</v>
      </c>
      <c r="G209" s="24">
        <f>SUM(G210)</f>
        <v>0</v>
      </c>
      <c r="H209" s="24">
        <f>SUM(H210)</f>
        <v>197000.04</v>
      </c>
      <c r="I209" s="24">
        <f>SUM(I210)</f>
        <v>109483.61</v>
      </c>
      <c r="J209" s="24">
        <f>SUM(J210)</f>
        <v>27483.61</v>
      </c>
      <c r="K209" s="24">
        <f>SUM(K210)</f>
        <v>87516.430000000008</v>
      </c>
      <c r="L209" s="5"/>
    </row>
    <row r="210" spans="1:12" s="4" customFormat="1" x14ac:dyDescent="0.25">
      <c r="A210" s="23"/>
      <c r="B210" s="22"/>
      <c r="C210" s="35">
        <v>36100</v>
      </c>
      <c r="D210" s="21" t="s">
        <v>54</v>
      </c>
      <c r="E210" s="20"/>
      <c r="F210" s="19">
        <f>SUM(F211)</f>
        <v>197000.04</v>
      </c>
      <c r="G210" s="19">
        <f>SUM(G211)</f>
        <v>0</v>
      </c>
      <c r="H210" s="19">
        <f>SUM(H211)</f>
        <v>197000.04</v>
      </c>
      <c r="I210" s="19">
        <f>SUM(I211)</f>
        <v>109483.61</v>
      </c>
      <c r="J210" s="19">
        <f>SUM(J211)</f>
        <v>27483.61</v>
      </c>
      <c r="K210" s="19">
        <f>SUM(K211)</f>
        <v>87516.430000000008</v>
      </c>
      <c r="L210" s="5"/>
    </row>
    <row r="211" spans="1:12" s="4" customFormat="1" x14ac:dyDescent="0.25">
      <c r="A211" s="23"/>
      <c r="B211" s="38"/>
      <c r="C211" s="22"/>
      <c r="D211" s="37">
        <v>36101</v>
      </c>
      <c r="E211" s="36" t="s">
        <v>53</v>
      </c>
      <c r="F211" s="34">
        <v>197000.04</v>
      </c>
      <c r="G211" s="34"/>
      <c r="H211" s="34">
        <f>F211+G211</f>
        <v>197000.04</v>
      </c>
      <c r="I211" s="34">
        <v>109483.61</v>
      </c>
      <c r="J211" s="34">
        <f>109483.61-82000</f>
        <v>27483.61</v>
      </c>
      <c r="K211" s="12">
        <f>H211-I211</f>
        <v>87516.430000000008</v>
      </c>
      <c r="L211" s="45"/>
    </row>
    <row r="212" spans="1:12" s="4" customFormat="1" x14ac:dyDescent="0.25">
      <c r="A212" s="23"/>
      <c r="B212" s="28">
        <v>37000</v>
      </c>
      <c r="C212" s="27" t="s">
        <v>52</v>
      </c>
      <c r="D212" s="26"/>
      <c r="E212" s="25"/>
      <c r="F212" s="24">
        <f>SUM(F213,F215,F218,F221,F224)</f>
        <v>909157.56</v>
      </c>
      <c r="G212" s="24">
        <f>SUM(G213,G215,G218,G221,G224)</f>
        <v>0</v>
      </c>
      <c r="H212" s="24">
        <f>SUM(H213,H215,H218,H221,H224)</f>
        <v>909157.56</v>
      </c>
      <c r="I212" s="24">
        <f>SUM(I213,I215,I218,I221,I224)</f>
        <v>834830.7699999999</v>
      </c>
      <c r="J212" s="24">
        <f>SUM(J213,J215,J218,J221,J224)</f>
        <v>831943.2699999999</v>
      </c>
      <c r="K212" s="24">
        <f>SUM(K213,K215,K218,K221,K224)</f>
        <v>74326.790000000081</v>
      </c>
      <c r="L212" s="5"/>
    </row>
    <row r="213" spans="1:12" s="4" customFormat="1" x14ac:dyDescent="0.25">
      <c r="A213" s="23"/>
      <c r="B213" s="22"/>
      <c r="C213" s="35">
        <v>37100</v>
      </c>
      <c r="D213" s="21" t="s">
        <v>51</v>
      </c>
      <c r="E213" s="20"/>
      <c r="F213" s="19">
        <f>SUM(F214)</f>
        <v>168725.04</v>
      </c>
      <c r="G213" s="19">
        <f>SUM(G214)</f>
        <v>0</v>
      </c>
      <c r="H213" s="19">
        <f>SUM(H214)</f>
        <v>168725.04</v>
      </c>
      <c r="I213" s="19">
        <f>SUM(I214)</f>
        <v>164142.87</v>
      </c>
      <c r="J213" s="19">
        <f>SUM(J214)</f>
        <v>164142.87</v>
      </c>
      <c r="K213" s="19">
        <f>SUM(K214)</f>
        <v>4582.1700000000128</v>
      </c>
      <c r="L213" s="5"/>
    </row>
    <row r="214" spans="1:12" s="4" customFormat="1" x14ac:dyDescent="0.25">
      <c r="A214" s="23"/>
      <c r="B214" s="38"/>
      <c r="C214" s="22"/>
      <c r="D214" s="37">
        <v>37101</v>
      </c>
      <c r="E214" s="36" t="s">
        <v>51</v>
      </c>
      <c r="F214" s="34">
        <v>168725.04</v>
      </c>
      <c r="G214" s="34"/>
      <c r="H214" s="34">
        <f>F214+G214</f>
        <v>168725.04</v>
      </c>
      <c r="I214" s="34">
        <v>164142.87</v>
      </c>
      <c r="J214" s="34">
        <v>164142.87</v>
      </c>
      <c r="K214" s="12">
        <f>H214-I214</f>
        <v>4582.1700000000128</v>
      </c>
      <c r="L214" s="45"/>
    </row>
    <row r="215" spans="1:12" s="4" customFormat="1" x14ac:dyDescent="0.25">
      <c r="A215" s="23"/>
      <c r="B215" s="22"/>
      <c r="C215" s="35">
        <v>37200</v>
      </c>
      <c r="D215" s="21" t="s">
        <v>50</v>
      </c>
      <c r="E215" s="20"/>
      <c r="F215" s="19">
        <f>SUM(F216:F217)</f>
        <v>18857.52</v>
      </c>
      <c r="G215" s="19">
        <f>SUM(G216:G217)</f>
        <v>0</v>
      </c>
      <c r="H215" s="19">
        <f>SUM(H216:H217)</f>
        <v>18857.52</v>
      </c>
      <c r="I215" s="19">
        <f>SUM(I216:I217)</f>
        <v>2333</v>
      </c>
      <c r="J215" s="19">
        <f>SUM(J216:J217)</f>
        <v>2333</v>
      </c>
      <c r="K215" s="19">
        <f>SUM(K216:K217)</f>
        <v>16524.52</v>
      </c>
      <c r="L215" s="5"/>
    </row>
    <row r="216" spans="1:12" s="4" customFormat="1" x14ac:dyDescent="0.25">
      <c r="A216" s="23"/>
      <c r="B216" s="38"/>
      <c r="C216" s="22"/>
      <c r="D216" s="37">
        <v>37201</v>
      </c>
      <c r="E216" s="36" t="s">
        <v>50</v>
      </c>
      <c r="F216" s="34">
        <v>3969.96</v>
      </c>
      <c r="G216" s="34"/>
      <c r="H216" s="34">
        <f>F216+G216</f>
        <v>3969.96</v>
      </c>
      <c r="I216" s="34">
        <v>2333</v>
      </c>
      <c r="J216" s="34">
        <v>2333</v>
      </c>
      <c r="K216" s="12">
        <f>H216-I216</f>
        <v>1636.96</v>
      </c>
      <c r="L216" s="45"/>
    </row>
    <row r="217" spans="1:12" s="4" customFormat="1" x14ac:dyDescent="0.25">
      <c r="A217" s="23"/>
      <c r="B217" s="38"/>
      <c r="C217" s="22"/>
      <c r="D217" s="37">
        <v>37202</v>
      </c>
      <c r="E217" s="36" t="s">
        <v>49</v>
      </c>
      <c r="F217" s="34">
        <v>14887.56</v>
      </c>
      <c r="G217" s="34"/>
      <c r="H217" s="34">
        <f>F217+G217</f>
        <v>14887.56</v>
      </c>
      <c r="I217" s="34"/>
      <c r="J217" s="34"/>
      <c r="K217" s="12">
        <f>H217-I217</f>
        <v>14887.56</v>
      </c>
      <c r="L217" s="45"/>
    </row>
    <row r="218" spans="1:12" s="4" customFormat="1" x14ac:dyDescent="0.25">
      <c r="A218" s="23"/>
      <c r="B218" s="22"/>
      <c r="C218" s="35">
        <v>37500</v>
      </c>
      <c r="D218" s="21" t="s">
        <v>48</v>
      </c>
      <c r="E218" s="20"/>
      <c r="F218" s="19">
        <f>SUM(F219:F220)</f>
        <v>632250</v>
      </c>
      <c r="G218" s="19">
        <f>SUM(G219:G220)</f>
        <v>0</v>
      </c>
      <c r="H218" s="19">
        <f>SUM(H219:H220)</f>
        <v>632250</v>
      </c>
      <c r="I218" s="19">
        <f>SUM(I219:I220)</f>
        <v>579029.89999999991</v>
      </c>
      <c r="J218" s="19">
        <f>SUM(J219:J220)</f>
        <v>576142.39999999991</v>
      </c>
      <c r="K218" s="19">
        <f>SUM(K219:K220)</f>
        <v>53220.100000000064</v>
      </c>
      <c r="L218" s="5"/>
    </row>
    <row r="219" spans="1:12" s="4" customFormat="1" x14ac:dyDescent="0.25">
      <c r="A219" s="23"/>
      <c r="B219" s="38"/>
      <c r="C219" s="22"/>
      <c r="D219" s="37">
        <v>37501</v>
      </c>
      <c r="E219" s="36" t="s">
        <v>48</v>
      </c>
      <c r="F219" s="34">
        <v>433749.96</v>
      </c>
      <c r="G219" s="34"/>
      <c r="H219" s="34">
        <f>F219+G219</f>
        <v>433749.96</v>
      </c>
      <c r="I219" s="34">
        <v>420483.41</v>
      </c>
      <c r="J219" s="34">
        <f>420483.41-1700+300</f>
        <v>419083.41</v>
      </c>
      <c r="K219" s="12">
        <f>H219-I219</f>
        <v>13266.550000000047</v>
      </c>
      <c r="L219" s="45"/>
    </row>
    <row r="220" spans="1:12" s="4" customFormat="1" x14ac:dyDescent="0.25">
      <c r="A220" s="23"/>
      <c r="B220" s="38"/>
      <c r="C220" s="22"/>
      <c r="D220" s="37">
        <v>37502</v>
      </c>
      <c r="E220" s="36" t="s">
        <v>47</v>
      </c>
      <c r="F220" s="34">
        <v>198500.04</v>
      </c>
      <c r="G220" s="34"/>
      <c r="H220" s="34">
        <f>F220+G220</f>
        <v>198500.04</v>
      </c>
      <c r="I220" s="34">
        <v>158546.49</v>
      </c>
      <c r="J220" s="34">
        <f>158546.49-1487.5</f>
        <v>157058.99</v>
      </c>
      <c r="K220" s="12">
        <f>H220-I220</f>
        <v>39953.550000000017</v>
      </c>
      <c r="L220" s="45"/>
    </row>
    <row r="221" spans="1:12" s="4" customFormat="1" hidden="1" x14ac:dyDescent="0.25">
      <c r="A221" s="23"/>
      <c r="B221" s="22"/>
      <c r="C221" s="35">
        <v>37600</v>
      </c>
      <c r="D221" s="21" t="s">
        <v>46</v>
      </c>
      <c r="E221" s="20"/>
      <c r="F221" s="19">
        <f>SUM(F222:F223)</f>
        <v>0</v>
      </c>
      <c r="G221" s="19">
        <f>SUM(G222:G223)</f>
        <v>0</v>
      </c>
      <c r="H221" s="19">
        <f>SUM(H222:H223)</f>
        <v>0</v>
      </c>
      <c r="I221" s="19">
        <f>SUM(I222:I223)</f>
        <v>0</v>
      </c>
      <c r="J221" s="19">
        <f>SUM(J222:J223)</f>
        <v>0</v>
      </c>
      <c r="K221" s="19">
        <f>SUM(K222:K223)</f>
        <v>0</v>
      </c>
      <c r="L221" s="5"/>
    </row>
    <row r="222" spans="1:12" s="4" customFormat="1" hidden="1" x14ac:dyDescent="0.25">
      <c r="A222" s="23"/>
      <c r="B222" s="38"/>
      <c r="C222" s="22"/>
      <c r="D222" s="37">
        <v>37601</v>
      </c>
      <c r="E222" s="36" t="s">
        <v>46</v>
      </c>
      <c r="F222" s="34">
        <v>0</v>
      </c>
      <c r="G222" s="34"/>
      <c r="H222" s="34">
        <f>F222+G222</f>
        <v>0</v>
      </c>
      <c r="I222" s="34"/>
      <c r="J222" s="34"/>
      <c r="K222" s="12">
        <f>H222-I222</f>
        <v>0</v>
      </c>
      <c r="L222" s="45"/>
    </row>
    <row r="223" spans="1:12" s="4" customFormat="1" hidden="1" x14ac:dyDescent="0.25">
      <c r="A223" s="23"/>
      <c r="B223" s="38"/>
      <c r="C223" s="22"/>
      <c r="D223" s="40">
        <v>37602</v>
      </c>
      <c r="E223" s="41" t="s">
        <v>45</v>
      </c>
      <c r="F223" s="34">
        <v>0</v>
      </c>
      <c r="G223" s="34"/>
      <c r="H223" s="34">
        <f>F223+G223</f>
        <v>0</v>
      </c>
      <c r="I223" s="34"/>
      <c r="J223" s="34"/>
      <c r="K223" s="12">
        <f>H223-I223</f>
        <v>0</v>
      </c>
      <c r="L223" s="45"/>
    </row>
    <row r="224" spans="1:12" s="4" customFormat="1" x14ac:dyDescent="0.25">
      <c r="A224" s="23"/>
      <c r="B224" s="22"/>
      <c r="C224" s="35">
        <v>37900</v>
      </c>
      <c r="D224" s="21" t="s">
        <v>44</v>
      </c>
      <c r="E224" s="20"/>
      <c r="F224" s="19">
        <f>SUM(F225:F226)</f>
        <v>89325</v>
      </c>
      <c r="G224" s="19">
        <f>SUM(G225:G226)</f>
        <v>0</v>
      </c>
      <c r="H224" s="19">
        <f>SUM(H225:H226)</f>
        <v>89325</v>
      </c>
      <c r="I224" s="19">
        <f>SUM(I225:I226)</f>
        <v>89325</v>
      </c>
      <c r="J224" s="19">
        <f>SUM(J225:J226)</f>
        <v>89325</v>
      </c>
      <c r="K224" s="19">
        <f>SUM(K225:K226)</f>
        <v>0</v>
      </c>
      <c r="L224" s="5"/>
    </row>
    <row r="225" spans="1:12" s="4" customFormat="1" x14ac:dyDescent="0.25">
      <c r="A225" s="23"/>
      <c r="B225" s="38"/>
      <c r="C225" s="22"/>
      <c r="D225" s="37">
        <v>37902</v>
      </c>
      <c r="E225" s="36" t="s">
        <v>43</v>
      </c>
      <c r="F225" s="34">
        <v>89325</v>
      </c>
      <c r="G225" s="34"/>
      <c r="H225" s="34">
        <f>F225+G225</f>
        <v>89325</v>
      </c>
      <c r="I225" s="34">
        <f>101491-12166</f>
        <v>89325</v>
      </c>
      <c r="J225" s="34">
        <f>101491-12166</f>
        <v>89325</v>
      </c>
      <c r="K225" s="12">
        <f>H225-I225</f>
        <v>0</v>
      </c>
      <c r="L225" s="45"/>
    </row>
    <row r="226" spans="1:12" s="4" customFormat="1" hidden="1" x14ac:dyDescent="0.25">
      <c r="A226" s="23"/>
      <c r="B226" s="38"/>
      <c r="C226" s="22"/>
      <c r="D226" s="37">
        <v>37903</v>
      </c>
      <c r="E226" s="36" t="s">
        <v>42</v>
      </c>
      <c r="F226" s="34">
        <v>0</v>
      </c>
      <c r="G226" s="34"/>
      <c r="H226" s="34">
        <f>F226+G226</f>
        <v>0</v>
      </c>
      <c r="I226" s="34"/>
      <c r="J226" s="34"/>
      <c r="K226" s="12">
        <f>H226-I226</f>
        <v>0</v>
      </c>
      <c r="L226" s="45"/>
    </row>
    <row r="227" spans="1:12" s="4" customFormat="1" x14ac:dyDescent="0.25">
      <c r="A227" s="23"/>
      <c r="B227" s="28">
        <v>38000</v>
      </c>
      <c r="C227" s="27" t="s">
        <v>41</v>
      </c>
      <c r="D227" s="26"/>
      <c r="E227" s="25"/>
      <c r="F227" s="24">
        <f>SUM(F228)</f>
        <v>446625</v>
      </c>
      <c r="G227" s="24">
        <f>SUM(G228)</f>
        <v>100000</v>
      </c>
      <c r="H227" s="24">
        <f>SUM(H228)</f>
        <v>546625</v>
      </c>
      <c r="I227" s="24">
        <f>SUM(I228)</f>
        <v>477775.55</v>
      </c>
      <c r="J227" s="24">
        <f>SUM(J228)</f>
        <v>473657.55</v>
      </c>
      <c r="K227" s="24">
        <f>SUM(K228)</f>
        <v>68849.450000000012</v>
      </c>
      <c r="L227" s="5"/>
    </row>
    <row r="228" spans="1:12" s="4" customFormat="1" x14ac:dyDescent="0.25">
      <c r="A228" s="23"/>
      <c r="B228" s="22"/>
      <c r="C228" s="35">
        <v>38500</v>
      </c>
      <c r="D228" s="21" t="s">
        <v>39</v>
      </c>
      <c r="E228" s="20"/>
      <c r="F228" s="19">
        <f>SUM(F229:F230)</f>
        <v>446625</v>
      </c>
      <c r="G228" s="19">
        <f>SUM(G229:G230)</f>
        <v>100000</v>
      </c>
      <c r="H228" s="19">
        <f>SUM(H229:H230)</f>
        <v>546625</v>
      </c>
      <c r="I228" s="19">
        <f>SUM(I229:I230)</f>
        <v>477775.55</v>
      </c>
      <c r="J228" s="19">
        <f>SUM(J229:J230)</f>
        <v>473657.55</v>
      </c>
      <c r="K228" s="19">
        <f>SUM(K229:K230)</f>
        <v>68849.450000000012</v>
      </c>
      <c r="L228" s="5"/>
    </row>
    <row r="229" spans="1:12" s="4" customFormat="1" x14ac:dyDescent="0.25">
      <c r="A229" s="23"/>
      <c r="B229" s="38"/>
      <c r="C229" s="22"/>
      <c r="D229" s="37">
        <v>38501</v>
      </c>
      <c r="E229" s="36" t="s">
        <v>40</v>
      </c>
      <c r="F229" s="34">
        <v>446625</v>
      </c>
      <c r="G229" s="34">
        <v>100000</v>
      </c>
      <c r="H229" s="34">
        <f>F229+G229</f>
        <v>546625</v>
      </c>
      <c r="I229" s="34">
        <f>465609.55+12166</f>
        <v>477775.55</v>
      </c>
      <c r="J229" s="34">
        <f>465609.55+12166-4118</f>
        <v>473657.55</v>
      </c>
      <c r="K229" s="12">
        <f>H229-I229</f>
        <v>68849.450000000012</v>
      </c>
      <c r="L229" s="45"/>
    </row>
    <row r="230" spans="1:12" s="4" customFormat="1" hidden="1" x14ac:dyDescent="0.25">
      <c r="A230" s="23"/>
      <c r="B230" s="38"/>
      <c r="C230" s="22"/>
      <c r="D230" s="37">
        <v>38503</v>
      </c>
      <c r="E230" s="36" t="s">
        <v>39</v>
      </c>
      <c r="F230" s="34">
        <v>0</v>
      </c>
      <c r="G230" s="34"/>
      <c r="H230" s="34">
        <f>F230+G230</f>
        <v>0</v>
      </c>
      <c r="I230" s="34"/>
      <c r="J230" s="34"/>
      <c r="K230" s="12">
        <f>H230-I230</f>
        <v>0</v>
      </c>
      <c r="L230" s="45"/>
    </row>
    <row r="231" spans="1:12" s="4" customFormat="1" x14ac:dyDescent="0.25">
      <c r="A231" s="23"/>
      <c r="B231" s="28">
        <v>39000</v>
      </c>
      <c r="C231" s="27" t="s">
        <v>38</v>
      </c>
      <c r="D231" s="26"/>
      <c r="E231" s="25"/>
      <c r="F231" s="24">
        <f>SUM(F232,F234)</f>
        <v>0</v>
      </c>
      <c r="G231" s="24">
        <f>SUM(G232,G234)</f>
        <v>131335.41</v>
      </c>
      <c r="H231" s="24">
        <f>SUM(H232,H234)</f>
        <v>131335.41</v>
      </c>
      <c r="I231" s="24">
        <f>SUM(I232,I234)</f>
        <v>131335.41</v>
      </c>
      <c r="J231" s="24">
        <f>SUM(J232,J234)</f>
        <v>131335.41</v>
      </c>
      <c r="K231" s="24">
        <f>SUM(K232,K234)</f>
        <v>0</v>
      </c>
      <c r="L231" s="5"/>
    </row>
    <row r="232" spans="1:12" s="4" customFormat="1" hidden="1" x14ac:dyDescent="0.25">
      <c r="A232" s="23"/>
      <c r="B232" s="22"/>
      <c r="C232" s="35">
        <v>39200</v>
      </c>
      <c r="D232" s="21" t="s">
        <v>37</v>
      </c>
      <c r="E232" s="20"/>
      <c r="F232" s="19">
        <f>SUM(F233)</f>
        <v>0</v>
      </c>
      <c r="G232" s="19">
        <f>SUM(G233)</f>
        <v>0</v>
      </c>
      <c r="H232" s="19">
        <f>SUM(H233)</f>
        <v>0</v>
      </c>
      <c r="I232" s="19">
        <f>SUM(I233)</f>
        <v>0</v>
      </c>
      <c r="J232" s="19">
        <f>SUM(J233)</f>
        <v>0</v>
      </c>
      <c r="K232" s="19">
        <f>SUM(K233)</f>
        <v>0</v>
      </c>
      <c r="L232" s="5"/>
    </row>
    <row r="233" spans="1:12" s="4" customFormat="1" hidden="1" x14ac:dyDescent="0.25">
      <c r="A233" s="23"/>
      <c r="B233" s="38"/>
      <c r="C233" s="22"/>
      <c r="D233" s="37">
        <v>39201</v>
      </c>
      <c r="E233" s="36" t="s">
        <v>37</v>
      </c>
      <c r="F233" s="34">
        <v>0</v>
      </c>
      <c r="G233" s="34"/>
      <c r="H233" s="34">
        <f>F233+G233</f>
        <v>0</v>
      </c>
      <c r="I233" s="34"/>
      <c r="J233" s="34"/>
      <c r="K233" s="12">
        <f>H233-I233</f>
        <v>0</v>
      </c>
      <c r="L233" s="45"/>
    </row>
    <row r="234" spans="1:12" s="4" customFormat="1" x14ac:dyDescent="0.25">
      <c r="A234" s="23"/>
      <c r="B234" s="22"/>
      <c r="C234" s="35">
        <v>39600</v>
      </c>
      <c r="D234" s="21" t="s">
        <v>36</v>
      </c>
      <c r="E234" s="20"/>
      <c r="F234" s="19">
        <f>SUM(F235)</f>
        <v>0</v>
      </c>
      <c r="G234" s="19">
        <f>SUM(G235)</f>
        <v>131335.41</v>
      </c>
      <c r="H234" s="19">
        <f>SUM(H235)</f>
        <v>131335.41</v>
      </c>
      <c r="I234" s="19">
        <f>SUM(I235)</f>
        <v>131335.41</v>
      </c>
      <c r="J234" s="19">
        <f>SUM(J235)</f>
        <v>131335.41</v>
      </c>
      <c r="K234" s="19">
        <f>SUM(K235)</f>
        <v>0</v>
      </c>
      <c r="L234" s="5"/>
    </row>
    <row r="235" spans="1:12" s="4" customFormat="1" x14ac:dyDescent="0.25">
      <c r="A235" s="23"/>
      <c r="B235" s="38"/>
      <c r="C235" s="22"/>
      <c r="D235" s="37">
        <v>39601</v>
      </c>
      <c r="E235" s="36" t="s">
        <v>36</v>
      </c>
      <c r="F235" s="34">
        <v>0</v>
      </c>
      <c r="G235" s="34">
        <v>131335.41</v>
      </c>
      <c r="H235" s="34">
        <f>F235+G235</f>
        <v>131335.41</v>
      </c>
      <c r="I235" s="34">
        <v>131335.41</v>
      </c>
      <c r="J235" s="34">
        <v>131335.41</v>
      </c>
      <c r="K235" s="12">
        <f>H235-I235</f>
        <v>0</v>
      </c>
      <c r="L235" s="45"/>
    </row>
    <row r="236" spans="1:12" s="4" customFormat="1" x14ac:dyDescent="0.25">
      <c r="A236" s="23"/>
      <c r="B236" s="38"/>
      <c r="C236" s="22"/>
      <c r="D236" s="37"/>
      <c r="E236" s="36"/>
      <c r="F236" s="12"/>
      <c r="G236" s="12"/>
      <c r="H236" s="12"/>
      <c r="I236" s="12"/>
      <c r="J236" s="12"/>
      <c r="K236" s="12"/>
      <c r="L236" s="5"/>
    </row>
    <row r="237" spans="1:12" s="4" customFormat="1" x14ac:dyDescent="0.25">
      <c r="A237" s="32">
        <v>40000</v>
      </c>
      <c r="B237" s="31" t="s">
        <v>35</v>
      </c>
      <c r="C237" s="30"/>
      <c r="D237" s="30"/>
      <c r="E237" s="29"/>
      <c r="F237" s="12">
        <f>SUM(F238,F241)</f>
        <v>5046000</v>
      </c>
      <c r="G237" s="12">
        <f>SUM(G238,G241)</f>
        <v>-1000</v>
      </c>
      <c r="H237" s="12">
        <f>SUM(H238,H241)</f>
        <v>5045000</v>
      </c>
      <c r="I237" s="12">
        <f>SUM(I238,I241)</f>
        <v>5045000</v>
      </c>
      <c r="J237" s="12">
        <f>SUM(J238,J241)</f>
        <v>5045000</v>
      </c>
      <c r="K237" s="12">
        <f>SUM(K238,K241)</f>
        <v>0</v>
      </c>
      <c r="L237" s="5"/>
    </row>
    <row r="238" spans="1:12" s="4" customFormat="1" x14ac:dyDescent="0.25">
      <c r="A238" s="23"/>
      <c r="B238" s="28">
        <v>44000</v>
      </c>
      <c r="C238" s="27" t="s">
        <v>34</v>
      </c>
      <c r="D238" s="26"/>
      <c r="E238" s="25"/>
      <c r="F238" s="24">
        <f>SUM(F239)</f>
        <v>46000</v>
      </c>
      <c r="G238" s="24">
        <f>SUM(G239)</f>
        <v>-1000</v>
      </c>
      <c r="H238" s="24">
        <f>SUM(H239)</f>
        <v>45000</v>
      </c>
      <c r="I238" s="24">
        <f>SUM(I239)</f>
        <v>45000</v>
      </c>
      <c r="J238" s="24">
        <f>SUM(J239)</f>
        <v>45000</v>
      </c>
      <c r="K238" s="24">
        <f>SUM(K239)</f>
        <v>0</v>
      </c>
      <c r="L238" s="5"/>
    </row>
    <row r="239" spans="1:12" s="4" customFormat="1" x14ac:dyDescent="0.25">
      <c r="A239" s="23"/>
      <c r="B239" s="22"/>
      <c r="C239" s="35">
        <v>44500</v>
      </c>
      <c r="D239" s="21" t="s">
        <v>33</v>
      </c>
      <c r="E239" s="20"/>
      <c r="F239" s="19">
        <f>SUM(F240)</f>
        <v>46000</v>
      </c>
      <c r="G239" s="19">
        <f>SUM(G240)</f>
        <v>-1000</v>
      </c>
      <c r="H239" s="19">
        <f>SUM(H240)</f>
        <v>45000</v>
      </c>
      <c r="I239" s="19">
        <f>SUM(I240)</f>
        <v>45000</v>
      </c>
      <c r="J239" s="19">
        <f>SUM(J240)</f>
        <v>45000</v>
      </c>
      <c r="K239" s="19">
        <f>SUM(K240)</f>
        <v>0</v>
      </c>
      <c r="L239" s="5"/>
    </row>
    <row r="240" spans="1:12" s="4" customFormat="1" x14ac:dyDescent="0.25">
      <c r="A240" s="23"/>
      <c r="B240" s="38"/>
      <c r="C240" s="22"/>
      <c r="D240" s="37">
        <v>44502</v>
      </c>
      <c r="E240" s="36" t="s">
        <v>32</v>
      </c>
      <c r="F240" s="34">
        <v>46000</v>
      </c>
      <c r="G240" s="34">
        <v>-1000</v>
      </c>
      <c r="H240" s="34">
        <f>F240+G240</f>
        <v>45000</v>
      </c>
      <c r="I240" s="34">
        <v>45000</v>
      </c>
      <c r="J240" s="34">
        <v>45000</v>
      </c>
      <c r="K240" s="12">
        <f>H240-I240</f>
        <v>0</v>
      </c>
      <c r="L240" s="5"/>
    </row>
    <row r="241" spans="1:12" s="4" customFormat="1" x14ac:dyDescent="0.25">
      <c r="A241" s="23"/>
      <c r="B241" s="28">
        <v>46000</v>
      </c>
      <c r="C241" s="27" t="s">
        <v>31</v>
      </c>
      <c r="D241" s="26"/>
      <c r="E241" s="25"/>
      <c r="F241" s="24">
        <f>SUM(F242)</f>
        <v>5000000</v>
      </c>
      <c r="G241" s="24">
        <f>SUM(G242)</f>
        <v>0</v>
      </c>
      <c r="H241" s="24">
        <f>SUM(H242)</f>
        <v>5000000</v>
      </c>
      <c r="I241" s="24">
        <f>SUM(I242)</f>
        <v>5000000</v>
      </c>
      <c r="J241" s="24">
        <f>SUM(J242)</f>
        <v>5000000</v>
      </c>
      <c r="K241" s="24">
        <f>SUM(K242)</f>
        <v>0</v>
      </c>
      <c r="L241" s="5"/>
    </row>
    <row r="242" spans="1:12" s="4" customFormat="1" x14ac:dyDescent="0.25">
      <c r="A242" s="23"/>
      <c r="B242" s="22"/>
      <c r="C242" s="35">
        <v>46300</v>
      </c>
      <c r="D242" s="21" t="s">
        <v>30</v>
      </c>
      <c r="E242" s="20"/>
      <c r="F242" s="19">
        <f>SUM(F243)</f>
        <v>5000000</v>
      </c>
      <c r="G242" s="19">
        <f>SUM(G243)</f>
        <v>0</v>
      </c>
      <c r="H242" s="19">
        <f>SUM(H243)</f>
        <v>5000000</v>
      </c>
      <c r="I242" s="19">
        <f>SUM(I243)</f>
        <v>5000000</v>
      </c>
      <c r="J242" s="19">
        <f>SUM(J243)</f>
        <v>5000000</v>
      </c>
      <c r="K242" s="19">
        <f>SUM(K243)</f>
        <v>0</v>
      </c>
      <c r="L242" s="5"/>
    </row>
    <row r="243" spans="1:12" s="4" customFormat="1" ht="30" x14ac:dyDescent="0.25">
      <c r="A243" s="23"/>
      <c r="B243" s="38"/>
      <c r="C243" s="22"/>
      <c r="D243" s="37">
        <v>46301</v>
      </c>
      <c r="E243" s="36" t="s">
        <v>29</v>
      </c>
      <c r="F243" s="34">
        <v>5000000</v>
      </c>
      <c r="G243" s="34"/>
      <c r="H243" s="34">
        <f>F243+G243</f>
        <v>5000000</v>
      </c>
      <c r="I243" s="34">
        <v>5000000</v>
      </c>
      <c r="J243" s="34">
        <v>5000000</v>
      </c>
      <c r="K243" s="12">
        <f>H243-I243</f>
        <v>0</v>
      </c>
      <c r="L243" s="5"/>
    </row>
    <row r="244" spans="1:12" s="4" customFormat="1" x14ac:dyDescent="0.25">
      <c r="A244" s="23"/>
      <c r="B244" s="38"/>
      <c r="C244" s="22"/>
      <c r="D244" s="37"/>
      <c r="E244" s="36"/>
      <c r="F244" s="34"/>
      <c r="G244" s="34"/>
      <c r="H244" s="34"/>
      <c r="I244" s="34"/>
      <c r="J244" s="34"/>
      <c r="K244" s="12"/>
      <c r="L244" s="5"/>
    </row>
    <row r="245" spans="1:12" s="4" customFormat="1" x14ac:dyDescent="0.25">
      <c r="A245" s="32">
        <v>50000</v>
      </c>
      <c r="B245" s="31" t="s">
        <v>28</v>
      </c>
      <c r="C245" s="30"/>
      <c r="D245" s="30"/>
      <c r="E245" s="29"/>
      <c r="F245" s="12">
        <f>SUM(F246,F255,F260,F264,F267)</f>
        <v>805854.11999999988</v>
      </c>
      <c r="G245" s="12">
        <f>SUM(G246,G255,G260,G264,G267)</f>
        <v>0</v>
      </c>
      <c r="H245" s="12">
        <f>SUM(H246,H255,H260,H264,H267)</f>
        <v>805854.11999999988</v>
      </c>
      <c r="I245" s="12">
        <f>SUM(I246,I255,I260,I264,I267)</f>
        <v>746129.19</v>
      </c>
      <c r="J245" s="12">
        <f>SUM(J246,J255,J260,J264,J267)</f>
        <v>604620.79</v>
      </c>
      <c r="K245" s="12">
        <f>SUM(K246,K255,K260,K264,K267)</f>
        <v>59724.929999999935</v>
      </c>
      <c r="L245" s="5"/>
    </row>
    <row r="246" spans="1:12" s="4" customFormat="1" x14ac:dyDescent="0.25">
      <c r="A246" s="23"/>
      <c r="B246" s="28">
        <v>51000</v>
      </c>
      <c r="C246" s="27" t="s">
        <v>27</v>
      </c>
      <c r="D246" s="26"/>
      <c r="E246" s="25"/>
      <c r="F246" s="24">
        <f>SUM(F247,F249,F253)</f>
        <v>127000.07999999999</v>
      </c>
      <c r="G246" s="24">
        <f>SUM(G247,G249,G253)</f>
        <v>0</v>
      </c>
      <c r="H246" s="24">
        <f>SUM(H247,H249,H253)</f>
        <v>127000.07999999999</v>
      </c>
      <c r="I246" s="24">
        <f>SUM(I247,I249,I253)</f>
        <v>104654.28</v>
      </c>
      <c r="J246" s="24">
        <f>SUM(J247,J249,J253)</f>
        <v>82625.87999999999</v>
      </c>
      <c r="K246" s="24">
        <f>SUM(K247,K249,K253)</f>
        <v>22345.8</v>
      </c>
      <c r="L246" s="5"/>
    </row>
    <row r="247" spans="1:12" s="4" customFormat="1" x14ac:dyDescent="0.25">
      <c r="A247" s="23"/>
      <c r="B247" s="22"/>
      <c r="C247" s="35">
        <v>51100</v>
      </c>
      <c r="D247" s="21" t="s">
        <v>26</v>
      </c>
      <c r="E247" s="20"/>
      <c r="F247" s="19">
        <f>SUM(F248)</f>
        <v>107000.04</v>
      </c>
      <c r="G247" s="19">
        <f>SUM(G248)</f>
        <v>0</v>
      </c>
      <c r="H247" s="19">
        <f>SUM(H248)</f>
        <v>107000.04</v>
      </c>
      <c r="I247" s="19">
        <f>SUM(I248)</f>
        <v>102183.48</v>
      </c>
      <c r="J247" s="19">
        <f>SUM(J248)</f>
        <v>80155.079999999987</v>
      </c>
      <c r="K247" s="19">
        <f>SUM(K248)</f>
        <v>4816.5599999999977</v>
      </c>
      <c r="L247" s="5"/>
    </row>
    <row r="248" spans="1:12" s="4" customFormat="1" x14ac:dyDescent="0.25">
      <c r="A248" s="23"/>
      <c r="B248" s="38"/>
      <c r="C248" s="22"/>
      <c r="D248" s="37">
        <v>51101</v>
      </c>
      <c r="E248" s="36" t="s">
        <v>26</v>
      </c>
      <c r="F248" s="34">
        <v>107000.04</v>
      </c>
      <c r="G248" s="34"/>
      <c r="H248" s="34">
        <f>F248+G248</f>
        <v>107000.04</v>
      </c>
      <c r="I248" s="34">
        <v>102183.48</v>
      </c>
      <c r="J248" s="34">
        <f>102183.48-22028.4</f>
        <v>80155.079999999987</v>
      </c>
      <c r="K248" s="12">
        <f>H248-I248</f>
        <v>4816.5599999999977</v>
      </c>
      <c r="L248" s="5"/>
    </row>
    <row r="249" spans="1:12" s="4" customFormat="1" hidden="1" x14ac:dyDescent="0.25">
      <c r="A249" s="23"/>
      <c r="B249" s="22"/>
      <c r="C249" s="35">
        <v>51500</v>
      </c>
      <c r="D249" s="21" t="s">
        <v>25</v>
      </c>
      <c r="E249" s="20"/>
      <c r="F249" s="19">
        <f>SUM(F250:F252)</f>
        <v>0</v>
      </c>
      <c r="G249" s="19">
        <f>SUM(G250:G252)</f>
        <v>0</v>
      </c>
      <c r="H249" s="19">
        <f>SUM(H250:H252)</f>
        <v>0</v>
      </c>
      <c r="I249" s="19">
        <f>SUM(I250:I252)</f>
        <v>0</v>
      </c>
      <c r="J249" s="19">
        <f>SUM(J250:J252)</f>
        <v>0</v>
      </c>
      <c r="K249" s="19">
        <f>SUM(K250:K252)</f>
        <v>0</v>
      </c>
      <c r="L249" s="5"/>
    </row>
    <row r="250" spans="1:12" s="4" customFormat="1" ht="30" hidden="1" x14ac:dyDescent="0.25">
      <c r="A250" s="23"/>
      <c r="B250" s="38"/>
      <c r="C250" s="22"/>
      <c r="D250" s="37">
        <v>51501</v>
      </c>
      <c r="E250" s="36" t="s">
        <v>24</v>
      </c>
      <c r="F250" s="34">
        <v>0</v>
      </c>
      <c r="G250" s="34"/>
      <c r="H250" s="34">
        <f>F250+G250</f>
        <v>0</v>
      </c>
      <c r="I250" s="34"/>
      <c r="J250" s="34"/>
      <c r="K250" s="12">
        <f>H250-I250</f>
        <v>0</v>
      </c>
      <c r="L250" s="5"/>
    </row>
    <row r="251" spans="1:12" s="4" customFormat="1" hidden="1" x14ac:dyDescent="0.25">
      <c r="A251" s="23"/>
      <c r="B251" s="38"/>
      <c r="C251" s="22"/>
      <c r="D251" s="37">
        <v>51502</v>
      </c>
      <c r="E251" s="36" t="s">
        <v>23</v>
      </c>
      <c r="F251" s="34">
        <v>0</v>
      </c>
      <c r="G251" s="34"/>
      <c r="H251" s="34">
        <f>F251+G251</f>
        <v>0</v>
      </c>
      <c r="I251" s="34"/>
      <c r="J251" s="34"/>
      <c r="K251" s="12">
        <f>H251-I251</f>
        <v>0</v>
      </c>
      <c r="L251" s="5"/>
    </row>
    <row r="252" spans="1:12" s="4" customFormat="1" hidden="1" x14ac:dyDescent="0.25">
      <c r="A252" s="23"/>
      <c r="B252" s="38"/>
      <c r="C252" s="22"/>
      <c r="D252" s="37">
        <v>51503</v>
      </c>
      <c r="E252" s="36" t="s">
        <v>22</v>
      </c>
      <c r="F252" s="34">
        <v>0</v>
      </c>
      <c r="G252" s="34"/>
      <c r="H252" s="34">
        <f>F252+G252</f>
        <v>0</v>
      </c>
      <c r="I252" s="34"/>
      <c r="J252" s="34"/>
      <c r="K252" s="12">
        <f>H252-I252</f>
        <v>0</v>
      </c>
      <c r="L252" s="5"/>
    </row>
    <row r="253" spans="1:12" s="4" customFormat="1" x14ac:dyDescent="0.25">
      <c r="A253" s="23"/>
      <c r="B253" s="22"/>
      <c r="C253" s="35">
        <v>51900</v>
      </c>
      <c r="D253" s="21" t="s">
        <v>21</v>
      </c>
      <c r="E253" s="20"/>
      <c r="F253" s="19">
        <f>SUM(F254)</f>
        <v>20000.04</v>
      </c>
      <c r="G253" s="19">
        <f>SUM(G254)</f>
        <v>0</v>
      </c>
      <c r="H253" s="19">
        <f>SUM(H254)</f>
        <v>20000.04</v>
      </c>
      <c r="I253" s="19">
        <f>SUM(I254)</f>
        <v>2470.8000000000002</v>
      </c>
      <c r="J253" s="19">
        <f>SUM(J254)</f>
        <v>2470.8000000000002</v>
      </c>
      <c r="K253" s="19">
        <f>SUM(K254)</f>
        <v>17529.240000000002</v>
      </c>
      <c r="L253" s="5"/>
    </row>
    <row r="254" spans="1:12" s="4" customFormat="1" ht="15" customHeight="1" x14ac:dyDescent="0.25">
      <c r="A254" s="23"/>
      <c r="B254" s="38"/>
      <c r="C254" s="43"/>
      <c r="D254" s="42">
        <v>51901</v>
      </c>
      <c r="E254" s="41" t="s">
        <v>21</v>
      </c>
      <c r="F254" s="34">
        <v>20000.04</v>
      </c>
      <c r="G254" s="34"/>
      <c r="H254" s="34">
        <f>F254+G254</f>
        <v>20000.04</v>
      </c>
      <c r="I254" s="34">
        <v>2470.8000000000002</v>
      </c>
      <c r="J254" s="34">
        <v>2470.8000000000002</v>
      </c>
      <c r="K254" s="12">
        <f>H254-I254</f>
        <v>17529.240000000002</v>
      </c>
      <c r="L254" s="5"/>
    </row>
    <row r="255" spans="1:12" s="4" customFormat="1" x14ac:dyDescent="0.25">
      <c r="A255" s="23"/>
      <c r="B255" s="28">
        <v>52000</v>
      </c>
      <c r="C255" s="27" t="s">
        <v>20</v>
      </c>
      <c r="D255" s="26"/>
      <c r="E255" s="25"/>
      <c r="F255" s="24">
        <f>SUM(F256,F258)</f>
        <v>62499.96</v>
      </c>
      <c r="G255" s="24">
        <f>SUM(G256,G258)</f>
        <v>0</v>
      </c>
      <c r="H255" s="24">
        <f>SUM(H256,H258)</f>
        <v>62499.96</v>
      </c>
      <c r="I255" s="24">
        <f>SUM(I256,I258)</f>
        <v>58000</v>
      </c>
      <c r="J255" s="24">
        <f>SUM(J256,J258)</f>
        <v>58000</v>
      </c>
      <c r="K255" s="24">
        <f>SUM(K256,K258)</f>
        <v>4499.96</v>
      </c>
      <c r="L255" s="5"/>
    </row>
    <row r="256" spans="1:12" s="4" customFormat="1" x14ac:dyDescent="0.25">
      <c r="A256" s="23"/>
      <c r="B256" s="22"/>
      <c r="C256" s="35">
        <v>52100</v>
      </c>
      <c r="D256" s="21" t="s">
        <v>19</v>
      </c>
      <c r="E256" s="20"/>
      <c r="F256" s="19">
        <f>SUM(F257)</f>
        <v>2499.96</v>
      </c>
      <c r="G256" s="19">
        <f>SUM(G257)</f>
        <v>0</v>
      </c>
      <c r="H256" s="19">
        <f>SUM(H257)</f>
        <v>2499.96</v>
      </c>
      <c r="I256" s="19">
        <f>SUM(I257)</f>
        <v>0</v>
      </c>
      <c r="J256" s="19">
        <f>SUM(J257)</f>
        <v>0</v>
      </c>
      <c r="K256" s="19">
        <f>SUM(K257)</f>
        <v>2499.96</v>
      </c>
      <c r="L256" s="5"/>
    </row>
    <row r="257" spans="1:12" s="4" customFormat="1" x14ac:dyDescent="0.25">
      <c r="A257" s="23"/>
      <c r="B257" s="38"/>
      <c r="C257" s="43"/>
      <c r="D257" s="42">
        <v>52101</v>
      </c>
      <c r="E257" s="41" t="s">
        <v>19</v>
      </c>
      <c r="F257" s="34">
        <v>2499.96</v>
      </c>
      <c r="G257" s="34"/>
      <c r="H257" s="34">
        <f>F257+G257</f>
        <v>2499.96</v>
      </c>
      <c r="I257" s="34"/>
      <c r="J257" s="34"/>
      <c r="K257" s="12">
        <f>H257-I257</f>
        <v>2499.96</v>
      </c>
      <c r="L257" s="5"/>
    </row>
    <row r="258" spans="1:12" s="4" customFormat="1" x14ac:dyDescent="0.25">
      <c r="A258" s="23"/>
      <c r="B258" s="22"/>
      <c r="C258" s="35">
        <v>52300</v>
      </c>
      <c r="D258" s="21" t="s">
        <v>18</v>
      </c>
      <c r="E258" s="20"/>
      <c r="F258" s="19">
        <f>SUM(F259)</f>
        <v>60000</v>
      </c>
      <c r="G258" s="19">
        <f>SUM(G259)</f>
        <v>0</v>
      </c>
      <c r="H258" s="19">
        <f>SUM(H259)</f>
        <v>60000</v>
      </c>
      <c r="I258" s="19">
        <f>SUM(I259)</f>
        <v>58000</v>
      </c>
      <c r="J258" s="19">
        <f>SUM(J259)</f>
        <v>58000</v>
      </c>
      <c r="K258" s="19">
        <f>SUM(K259)</f>
        <v>2000</v>
      </c>
      <c r="L258" s="5"/>
    </row>
    <row r="259" spans="1:12" s="4" customFormat="1" x14ac:dyDescent="0.25">
      <c r="A259" s="23"/>
      <c r="B259" s="38"/>
      <c r="C259" s="43"/>
      <c r="D259" s="42">
        <v>52301</v>
      </c>
      <c r="E259" s="41" t="s">
        <v>18</v>
      </c>
      <c r="F259" s="34">
        <v>60000</v>
      </c>
      <c r="G259" s="34"/>
      <c r="H259" s="34">
        <f>F259+G259</f>
        <v>60000</v>
      </c>
      <c r="I259" s="34">
        <v>58000</v>
      </c>
      <c r="J259" s="34">
        <v>58000</v>
      </c>
      <c r="K259" s="12">
        <f>H259-I259</f>
        <v>2000</v>
      </c>
      <c r="L259" s="5"/>
    </row>
    <row r="260" spans="1:12" s="4" customFormat="1" x14ac:dyDescent="0.25">
      <c r="A260" s="23"/>
      <c r="B260" s="28">
        <v>53000</v>
      </c>
      <c r="C260" s="27" t="s">
        <v>17</v>
      </c>
      <c r="D260" s="26"/>
      <c r="E260" s="25"/>
      <c r="F260" s="24">
        <f>SUM(F261)</f>
        <v>125595.48</v>
      </c>
      <c r="G260" s="24">
        <f>SUM(G261)</f>
        <v>0</v>
      </c>
      <c r="H260" s="24">
        <f>SUM(H261)</f>
        <v>125595.48</v>
      </c>
      <c r="I260" s="24">
        <f>SUM(I261)</f>
        <v>125595.52</v>
      </c>
      <c r="J260" s="24">
        <f>SUM(J261)</f>
        <v>125595.52</v>
      </c>
      <c r="K260" s="24">
        <f>SUM(K261)</f>
        <v>-4.0000000008149073E-2</v>
      </c>
      <c r="L260" s="5"/>
    </row>
    <row r="261" spans="1:12" s="4" customFormat="1" x14ac:dyDescent="0.25">
      <c r="A261" s="23"/>
      <c r="B261" s="22"/>
      <c r="C261" s="35">
        <v>53200</v>
      </c>
      <c r="D261" s="21" t="s">
        <v>15</v>
      </c>
      <c r="E261" s="20"/>
      <c r="F261" s="19">
        <f>SUM(F262:F263)</f>
        <v>125595.48</v>
      </c>
      <c r="G261" s="19">
        <f>SUM(G262:G263)</f>
        <v>0</v>
      </c>
      <c r="H261" s="19">
        <f>SUM(H262:H263)</f>
        <v>125595.48</v>
      </c>
      <c r="I261" s="19">
        <f>SUM(I262:I263)</f>
        <v>125595.52</v>
      </c>
      <c r="J261" s="19">
        <f>SUM(J262:J263)</f>
        <v>125595.52</v>
      </c>
      <c r="K261" s="19">
        <f>SUM(K262:K263)</f>
        <v>-4.0000000008149073E-2</v>
      </c>
      <c r="L261" s="5"/>
    </row>
    <row r="262" spans="1:12" s="4" customFormat="1" x14ac:dyDescent="0.25">
      <c r="A262" s="23"/>
      <c r="B262" s="38"/>
      <c r="C262" s="43"/>
      <c r="D262" s="42">
        <v>53101</v>
      </c>
      <c r="E262" s="44" t="s">
        <v>16</v>
      </c>
      <c r="F262" s="34">
        <v>125595.48</v>
      </c>
      <c r="G262" s="34"/>
      <c r="H262" s="34">
        <f>F262+G262</f>
        <v>125595.48</v>
      </c>
      <c r="I262" s="34">
        <v>125595.52</v>
      </c>
      <c r="J262" s="34">
        <v>125595.52</v>
      </c>
      <c r="K262" s="12">
        <f>H262-I262</f>
        <v>-4.0000000008149073E-2</v>
      </c>
      <c r="L262" s="5"/>
    </row>
    <row r="263" spans="1:12" s="4" customFormat="1" hidden="1" x14ac:dyDescent="0.25">
      <c r="A263" s="23"/>
      <c r="B263" s="38"/>
      <c r="C263" s="43"/>
      <c r="D263" s="42">
        <v>53201</v>
      </c>
      <c r="E263" s="44" t="s">
        <v>15</v>
      </c>
      <c r="F263" s="34">
        <v>0</v>
      </c>
      <c r="G263" s="34"/>
      <c r="H263" s="34">
        <f>F263+G263</f>
        <v>0</v>
      </c>
      <c r="I263" s="34"/>
      <c r="J263" s="34"/>
      <c r="K263" s="12">
        <f>H263-I263</f>
        <v>0</v>
      </c>
      <c r="L263" s="5"/>
    </row>
    <row r="264" spans="1:12" s="4" customFormat="1" hidden="1" x14ac:dyDescent="0.25">
      <c r="A264" s="23"/>
      <c r="B264" s="28">
        <v>54000</v>
      </c>
      <c r="C264" s="27" t="s">
        <v>14</v>
      </c>
      <c r="D264" s="26"/>
      <c r="E264" s="25"/>
      <c r="F264" s="24">
        <f>SUM(F265)</f>
        <v>0</v>
      </c>
      <c r="G264" s="24">
        <f>SUM(G265)</f>
        <v>0</v>
      </c>
      <c r="H264" s="24">
        <f>SUM(H265)</f>
        <v>0</v>
      </c>
      <c r="I264" s="24">
        <f>SUM(I265)</f>
        <v>0</v>
      </c>
      <c r="J264" s="24">
        <f>SUM(J265)</f>
        <v>0</v>
      </c>
      <c r="K264" s="24">
        <f>SUM(K265)</f>
        <v>0</v>
      </c>
      <c r="L264" s="5"/>
    </row>
    <row r="265" spans="1:12" s="4" customFormat="1" hidden="1" x14ac:dyDescent="0.25">
      <c r="A265" s="23"/>
      <c r="B265" s="22"/>
      <c r="C265" s="35">
        <v>54100</v>
      </c>
      <c r="D265" s="21" t="s">
        <v>13</v>
      </c>
      <c r="E265" s="20"/>
      <c r="F265" s="19">
        <f>SUM(F266)</f>
        <v>0</v>
      </c>
      <c r="G265" s="19">
        <f>SUM(G266)</f>
        <v>0</v>
      </c>
      <c r="H265" s="19">
        <f>SUM(H266)</f>
        <v>0</v>
      </c>
      <c r="I265" s="19">
        <f>SUM(I266)</f>
        <v>0</v>
      </c>
      <c r="J265" s="19">
        <f>SUM(J266)</f>
        <v>0</v>
      </c>
      <c r="K265" s="19">
        <f>SUM(K266)</f>
        <v>0</v>
      </c>
      <c r="L265" s="5"/>
    </row>
    <row r="266" spans="1:12" s="4" customFormat="1" hidden="1" x14ac:dyDescent="0.25">
      <c r="A266" s="23"/>
      <c r="B266" s="38"/>
      <c r="C266" s="43"/>
      <c r="D266" s="42">
        <v>54101</v>
      </c>
      <c r="E266" s="41" t="s">
        <v>13</v>
      </c>
      <c r="F266" s="34">
        <v>0</v>
      </c>
      <c r="G266" s="34"/>
      <c r="H266" s="34">
        <f>F266+G266</f>
        <v>0</v>
      </c>
      <c r="I266" s="34"/>
      <c r="J266" s="34"/>
      <c r="K266" s="12">
        <f>H266-I266</f>
        <v>0</v>
      </c>
      <c r="L266" s="5"/>
    </row>
    <row r="267" spans="1:12" s="4" customFormat="1" x14ac:dyDescent="0.25">
      <c r="A267" s="23"/>
      <c r="B267" s="28">
        <v>56000</v>
      </c>
      <c r="C267" s="27" t="s">
        <v>12</v>
      </c>
      <c r="D267" s="26"/>
      <c r="E267" s="25"/>
      <c r="F267" s="24">
        <f>SUM(F268,F270,F272,F274)</f>
        <v>490758.6</v>
      </c>
      <c r="G267" s="24">
        <f>SUM(G268,G270,G272,G274)</f>
        <v>0</v>
      </c>
      <c r="H267" s="24">
        <f>SUM(H268,H270,H272,H274)</f>
        <v>490758.6</v>
      </c>
      <c r="I267" s="24">
        <f>SUM(I268,I270,I272,I274)</f>
        <v>457879.39</v>
      </c>
      <c r="J267" s="24">
        <f>SUM(J268,J270,J272,J274)</f>
        <v>338399.39</v>
      </c>
      <c r="K267" s="24">
        <f>SUM(K268,K270,K272,K274)</f>
        <v>32879.209999999941</v>
      </c>
      <c r="L267" s="5"/>
    </row>
    <row r="268" spans="1:12" s="4" customFormat="1" x14ac:dyDescent="0.25">
      <c r="A268" s="23"/>
      <c r="B268" s="22"/>
      <c r="C268" s="35">
        <v>56400</v>
      </c>
      <c r="D268" s="21" t="s">
        <v>11</v>
      </c>
      <c r="E268" s="20"/>
      <c r="F268" s="19">
        <f>SUM(F269)</f>
        <v>0</v>
      </c>
      <c r="G268" s="19">
        <f>SUM(G269)</f>
        <v>41265.4</v>
      </c>
      <c r="H268" s="19">
        <f>SUM(H269)</f>
        <v>41265.4</v>
      </c>
      <c r="I268" s="19">
        <f>SUM(I269)</f>
        <v>8906.19</v>
      </c>
      <c r="J268" s="19">
        <f>SUM(J269)</f>
        <v>8906.19</v>
      </c>
      <c r="K268" s="19">
        <f>SUM(K269)</f>
        <v>32359.21</v>
      </c>
      <c r="L268" s="5"/>
    </row>
    <row r="269" spans="1:12" s="4" customFormat="1" ht="30" x14ac:dyDescent="0.25">
      <c r="A269" s="23"/>
      <c r="B269" s="38"/>
      <c r="C269" s="22"/>
      <c r="D269" s="37">
        <v>56401</v>
      </c>
      <c r="E269" s="36" t="s">
        <v>10</v>
      </c>
      <c r="F269" s="34">
        <v>0</v>
      </c>
      <c r="G269" s="34">
        <v>41265.4</v>
      </c>
      <c r="H269" s="34">
        <f>F269+G269</f>
        <v>41265.4</v>
      </c>
      <c r="I269" s="34">
        <v>8906.19</v>
      </c>
      <c r="J269" s="34">
        <v>8906.19</v>
      </c>
      <c r="K269" s="12">
        <f>H269-I269</f>
        <v>32359.21</v>
      </c>
      <c r="L269" s="5"/>
    </row>
    <row r="270" spans="1:12" s="4" customFormat="1" x14ac:dyDescent="0.25">
      <c r="A270" s="23"/>
      <c r="B270" s="22"/>
      <c r="C270" s="35">
        <v>56500</v>
      </c>
      <c r="D270" s="21" t="s">
        <v>9</v>
      </c>
      <c r="E270" s="20"/>
      <c r="F270" s="19">
        <f>SUM(F271)</f>
        <v>490758.6</v>
      </c>
      <c r="G270" s="19">
        <f>SUM(G271)</f>
        <v>-41265.4</v>
      </c>
      <c r="H270" s="19">
        <f>SUM(H271)</f>
        <v>449493.19999999995</v>
      </c>
      <c r="I270" s="19">
        <f>SUM(I271)</f>
        <v>448973.2</v>
      </c>
      <c r="J270" s="19">
        <f>SUM(J271)</f>
        <v>329493.2</v>
      </c>
      <c r="K270" s="19">
        <f>SUM(K271)</f>
        <v>519.99999999994179</v>
      </c>
      <c r="L270" s="5"/>
    </row>
    <row r="271" spans="1:12" s="4" customFormat="1" ht="30" x14ac:dyDescent="0.25">
      <c r="A271" s="23"/>
      <c r="B271" s="38"/>
      <c r="C271" s="22"/>
      <c r="D271" s="37">
        <v>56501</v>
      </c>
      <c r="E271" s="36" t="s">
        <v>9</v>
      </c>
      <c r="F271" s="34">
        <v>490758.6</v>
      </c>
      <c r="G271" s="34">
        <v>-41265.4</v>
      </c>
      <c r="H271" s="34">
        <f>F271+G271</f>
        <v>449493.19999999995</v>
      </c>
      <c r="I271" s="34">
        <v>448973.2</v>
      </c>
      <c r="J271" s="34">
        <f>448973.2-119480</f>
        <v>329493.2</v>
      </c>
      <c r="K271" s="12">
        <f>H271-I271</f>
        <v>519.99999999994179</v>
      </c>
      <c r="L271" s="5"/>
    </row>
    <row r="272" spans="1:12" s="4" customFormat="1" hidden="1" x14ac:dyDescent="0.25">
      <c r="A272" s="23"/>
      <c r="B272" s="22"/>
      <c r="C272" s="35">
        <v>56600</v>
      </c>
      <c r="D272" s="21" t="s">
        <v>8</v>
      </c>
      <c r="E272" s="20"/>
      <c r="F272" s="19">
        <f>SUM(F273)</f>
        <v>0</v>
      </c>
      <c r="G272" s="19">
        <f>SUM(G273)</f>
        <v>0</v>
      </c>
      <c r="H272" s="19">
        <f>SUM(H273)</f>
        <v>0</v>
      </c>
      <c r="I272" s="19">
        <f>SUM(I273)</f>
        <v>0</v>
      </c>
      <c r="J272" s="19">
        <f>SUM(J273)</f>
        <v>0</v>
      </c>
      <c r="K272" s="19">
        <f>SUM(K273)</f>
        <v>0</v>
      </c>
      <c r="L272" s="5"/>
    </row>
    <row r="273" spans="1:12" s="4" customFormat="1" ht="30" hidden="1" x14ac:dyDescent="0.25">
      <c r="A273" s="23"/>
      <c r="B273" s="38"/>
      <c r="C273" s="22"/>
      <c r="D273" s="40">
        <v>56601</v>
      </c>
      <c r="E273" s="39" t="s">
        <v>8</v>
      </c>
      <c r="F273" s="34">
        <v>0</v>
      </c>
      <c r="G273" s="34"/>
      <c r="H273" s="34">
        <f>F273+G273</f>
        <v>0</v>
      </c>
      <c r="I273" s="34"/>
      <c r="J273" s="34"/>
      <c r="K273" s="12">
        <f>H273-I273</f>
        <v>0</v>
      </c>
      <c r="L273" s="5"/>
    </row>
    <row r="274" spans="1:12" s="4" customFormat="1" hidden="1" x14ac:dyDescent="0.25">
      <c r="A274" s="23"/>
      <c r="B274" s="22"/>
      <c r="C274" s="35">
        <v>56900</v>
      </c>
      <c r="D274" s="21" t="s">
        <v>7</v>
      </c>
      <c r="E274" s="20"/>
      <c r="F274" s="19">
        <f>SUM(F275)</f>
        <v>0</v>
      </c>
      <c r="G274" s="19">
        <f>SUM(G275)</f>
        <v>0</v>
      </c>
      <c r="H274" s="19">
        <f>SUM(H275)</f>
        <v>0</v>
      </c>
      <c r="I274" s="19">
        <f>SUM(I275)</f>
        <v>0</v>
      </c>
      <c r="J274" s="19">
        <f>SUM(J275)</f>
        <v>0</v>
      </c>
      <c r="K274" s="19">
        <f>SUM(K275)</f>
        <v>0</v>
      </c>
      <c r="L274" s="5"/>
    </row>
    <row r="275" spans="1:12" s="4" customFormat="1" hidden="1" x14ac:dyDescent="0.25">
      <c r="A275" s="23"/>
      <c r="B275" s="38"/>
      <c r="C275" s="22"/>
      <c r="D275" s="37">
        <v>56901</v>
      </c>
      <c r="E275" s="36" t="s">
        <v>7</v>
      </c>
      <c r="F275" s="34">
        <v>0</v>
      </c>
      <c r="G275" s="34"/>
      <c r="H275" s="34">
        <f>F275+G275</f>
        <v>0</v>
      </c>
      <c r="I275" s="34"/>
      <c r="J275" s="34"/>
      <c r="K275" s="12">
        <f>H275-I275</f>
        <v>0</v>
      </c>
      <c r="L275" s="5"/>
    </row>
    <row r="276" spans="1:12" s="4" customFormat="1" x14ac:dyDescent="0.25">
      <c r="A276" s="18"/>
      <c r="B276" s="17"/>
      <c r="C276" s="16"/>
      <c r="D276" s="15"/>
      <c r="E276" s="14"/>
      <c r="F276" s="12"/>
      <c r="G276" s="12"/>
      <c r="H276" s="12"/>
      <c r="I276" s="12"/>
      <c r="J276" s="12"/>
      <c r="K276" s="12">
        <f>H276-I276</f>
        <v>0</v>
      </c>
      <c r="L276" s="5"/>
    </row>
    <row r="277" spans="1:12" s="4" customFormat="1" x14ac:dyDescent="0.25">
      <c r="A277" s="32">
        <v>60000</v>
      </c>
      <c r="B277" s="31" t="s">
        <v>6</v>
      </c>
      <c r="C277" s="30"/>
      <c r="D277" s="30"/>
      <c r="E277" s="29"/>
      <c r="F277" s="12">
        <f>SUM(F278)</f>
        <v>240857.16</v>
      </c>
      <c r="G277" s="12">
        <f>SUM(G278)</f>
        <v>-203388.53</v>
      </c>
      <c r="H277" s="12">
        <f>SUM(H278)</f>
        <v>37468.630000000005</v>
      </c>
      <c r="I277" s="12">
        <f>SUM(I278)</f>
        <v>37468.629999999997</v>
      </c>
      <c r="J277" s="12">
        <f>SUM(J278)</f>
        <v>37468.629999999997</v>
      </c>
      <c r="K277" s="12">
        <f>SUM(K278)</f>
        <v>0</v>
      </c>
      <c r="L277" s="5"/>
    </row>
    <row r="278" spans="1:12" s="4" customFormat="1" x14ac:dyDescent="0.25">
      <c r="A278" s="23"/>
      <c r="B278" s="28">
        <v>62000</v>
      </c>
      <c r="C278" s="27" t="s">
        <v>5</v>
      </c>
      <c r="D278" s="26"/>
      <c r="E278" s="25"/>
      <c r="F278" s="24">
        <f>SUM(F279)</f>
        <v>240857.16</v>
      </c>
      <c r="G278" s="24">
        <f>SUM(G279)</f>
        <v>-203388.53</v>
      </c>
      <c r="H278" s="24">
        <f>SUM(H279)</f>
        <v>37468.630000000005</v>
      </c>
      <c r="I278" s="24">
        <f>SUM(I279)</f>
        <v>37468.629999999997</v>
      </c>
      <c r="J278" s="24">
        <f>SUM(J279)</f>
        <v>37468.629999999997</v>
      </c>
      <c r="K278" s="24">
        <f>SUM(K279)</f>
        <v>0</v>
      </c>
      <c r="L278" s="5"/>
    </row>
    <row r="279" spans="1:12" s="4" customFormat="1" x14ac:dyDescent="0.25">
      <c r="A279" s="23"/>
      <c r="B279" s="22"/>
      <c r="C279" s="35">
        <v>62900</v>
      </c>
      <c r="D279" s="21" t="s">
        <v>4</v>
      </c>
      <c r="E279" s="20"/>
      <c r="F279" s="19">
        <f>SUM(F280)</f>
        <v>240857.16</v>
      </c>
      <c r="G279" s="19">
        <f>SUM(G280)</f>
        <v>-203388.53</v>
      </c>
      <c r="H279" s="19">
        <f>SUM(H280)</f>
        <v>37468.630000000005</v>
      </c>
      <c r="I279" s="19">
        <f>SUM(I280)</f>
        <v>37468.629999999997</v>
      </c>
      <c r="J279" s="19">
        <f>SUM(J280)</f>
        <v>37468.629999999997</v>
      </c>
      <c r="K279" s="19">
        <f>SUM(K280)</f>
        <v>0</v>
      </c>
      <c r="L279" s="5"/>
    </row>
    <row r="280" spans="1:12" s="4" customFormat="1" ht="30" x14ac:dyDescent="0.25">
      <c r="A280" s="18"/>
      <c r="B280" s="17"/>
      <c r="C280" s="16"/>
      <c r="D280" s="15">
        <v>62901</v>
      </c>
      <c r="E280" s="14" t="s">
        <v>3</v>
      </c>
      <c r="F280" s="34">
        <v>240857.16</v>
      </c>
      <c r="G280" s="34">
        <v>-203388.53</v>
      </c>
      <c r="H280" s="34">
        <f>F280+G280</f>
        <v>37468.630000000005</v>
      </c>
      <c r="I280" s="34">
        <v>37468.629999999997</v>
      </c>
      <c r="J280" s="34">
        <v>37468.629999999997</v>
      </c>
      <c r="K280" s="12">
        <f>H280-I280</f>
        <v>0</v>
      </c>
      <c r="L280" s="5"/>
    </row>
    <row r="281" spans="1:12" s="4" customFormat="1" hidden="1" x14ac:dyDescent="0.25">
      <c r="A281" s="18"/>
      <c r="B281" s="17"/>
      <c r="C281" s="16"/>
      <c r="D281" s="15"/>
      <c r="E281" s="14"/>
      <c r="F281" s="13"/>
      <c r="G281" s="13"/>
      <c r="H281" s="13"/>
      <c r="I281" s="13"/>
      <c r="J281" s="13"/>
      <c r="K281" s="33"/>
      <c r="L281" s="5"/>
    </row>
    <row r="282" spans="1:12" s="4" customFormat="1" hidden="1" x14ac:dyDescent="0.25">
      <c r="A282" s="32">
        <v>80000</v>
      </c>
      <c r="B282" s="31" t="s">
        <v>2</v>
      </c>
      <c r="C282" s="30"/>
      <c r="D282" s="30"/>
      <c r="E282" s="29"/>
      <c r="F282" s="12"/>
      <c r="G282" s="12"/>
      <c r="H282" s="12">
        <f>SUM(H283)</f>
        <v>0</v>
      </c>
      <c r="I282" s="12"/>
      <c r="J282" s="12"/>
      <c r="K282" s="12">
        <f>SUM(K283)</f>
        <v>0</v>
      </c>
      <c r="L282" s="5"/>
    </row>
    <row r="283" spans="1:12" s="4" customFormat="1" hidden="1" x14ac:dyDescent="0.25">
      <c r="A283" s="23"/>
      <c r="B283" s="28">
        <v>83300</v>
      </c>
      <c r="C283" s="27" t="s">
        <v>1</v>
      </c>
      <c r="D283" s="26"/>
      <c r="E283" s="25"/>
      <c r="F283" s="24"/>
      <c r="G283" s="24"/>
      <c r="H283" s="24">
        <f>SUM(H284)</f>
        <v>0</v>
      </c>
      <c r="I283" s="24"/>
      <c r="J283" s="24"/>
      <c r="K283" s="24">
        <f>SUM(K284)</f>
        <v>0</v>
      </c>
      <c r="L283" s="5"/>
    </row>
    <row r="284" spans="1:12" s="4" customFormat="1" hidden="1" x14ac:dyDescent="0.25">
      <c r="A284" s="23"/>
      <c r="B284" s="22"/>
      <c r="C284" s="21">
        <v>85300</v>
      </c>
      <c r="D284" s="20" t="s">
        <v>0</v>
      </c>
      <c r="E284" s="20"/>
      <c r="F284" s="19"/>
      <c r="G284" s="19"/>
      <c r="H284" s="19">
        <f>SUM(H285)</f>
        <v>0</v>
      </c>
      <c r="I284" s="19"/>
      <c r="J284" s="19"/>
      <c r="K284" s="19">
        <f>SUM(K285)</f>
        <v>0</v>
      </c>
      <c r="L284" s="5"/>
    </row>
    <row r="285" spans="1:12" s="4" customFormat="1" hidden="1" x14ac:dyDescent="0.25">
      <c r="A285" s="18"/>
      <c r="B285" s="17"/>
      <c r="C285" s="16"/>
      <c r="D285" s="15">
        <v>85301</v>
      </c>
      <c r="E285" s="14" t="s">
        <v>0</v>
      </c>
      <c r="F285" s="13"/>
      <c r="G285" s="13"/>
      <c r="H285" s="13">
        <f>F285+G285</f>
        <v>0</v>
      </c>
      <c r="I285" s="13"/>
      <c r="J285" s="13"/>
      <c r="K285" s="12">
        <f>H285-I285</f>
        <v>0</v>
      </c>
      <c r="L285" s="5"/>
    </row>
    <row r="286" spans="1:12" s="4" customFormat="1" ht="15.75" thickBot="1" x14ac:dyDescent="0.3">
      <c r="A286" s="11"/>
      <c r="B286" s="10"/>
      <c r="C286" s="9"/>
      <c r="D286" s="8"/>
      <c r="E286" s="7"/>
      <c r="F286" s="6"/>
      <c r="G286" s="6"/>
      <c r="H286" s="6"/>
      <c r="I286" s="6"/>
      <c r="J286" s="6"/>
      <c r="K286" s="6"/>
      <c r="L286" s="5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3" right="0.44" top="0.71" bottom="0.83" header="0.23622047244094491" footer="0.55118110236220474"/>
  <pageSetup scale="59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2019-03-12T21:01:02Z</dcterms:created>
  <dcterms:modified xsi:type="dcterms:W3CDTF">2019-03-12T21:01:49Z</dcterms:modified>
</cp:coreProperties>
</file>