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11760" tabRatio="922"/>
  </bookViews>
  <sheets>
    <sheet name="CONCENTRADO PROYECTOS" sheetId="20" r:id="rId1"/>
    <sheet name="TRIBUNAL ELECTRÓNICO" sheetId="18" r:id="rId2"/>
    <sheet name="JUSTICIA LABORAL" sheetId="15" r:id="rId3"/>
    <sheet name="VERSIONES PÚBLICAS SENTENCIAS" sheetId="17" r:id="rId4"/>
    <sheet name="SJPO TIJUANA LA ENCANTADA" sheetId="6" r:id="rId5"/>
    <sheet name="SJPO C.D. JUDICIAL ENSENADA" sheetId="7" r:id="rId6"/>
    <sheet name="SJPO C.D. JUDICIAL TECATE" sheetId="8" r:id="rId7"/>
    <sheet name="FORTALECIMIENTO SJPO MXLI" sheetId="19" r:id="rId8"/>
    <sheet name="MEJORAMIENTO SEMEFO" sheetId="3" r:id="rId9"/>
    <sheet name="CECOFAM" sheetId="4" r:id="rId10"/>
    <sheet name="CREACIÓN JUZGADOS FAMILIARES" sheetId="2" r:id="rId11"/>
    <sheet name="CREACIÓN JUZGADOS MERCANTILES" sheetId="1" r:id="rId12"/>
    <sheet name="SIST. DECLARACIÓN PATRIMONIAL" sheetId="16" r:id="rId13"/>
    <sheet name="SALAS APELACIÓN TIJ SIN MAG" sheetId="22" r:id="rId1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6" l="1"/>
  <c r="C44" i="22" l="1"/>
  <c r="D16" i="20" l="1"/>
  <c r="D18" i="20" s="1"/>
  <c r="C48" i="22"/>
  <c r="C33" i="22"/>
  <c r="C30" i="22"/>
  <c r="C47" i="22" s="1"/>
  <c r="C28" i="22"/>
  <c r="C27" i="22"/>
  <c r="C26" i="22"/>
  <c r="C24" i="22"/>
  <c r="C14" i="22"/>
  <c r="G13" i="22"/>
  <c r="G12" i="22"/>
  <c r="G11" i="22"/>
  <c r="G10" i="22"/>
  <c r="G9" i="22"/>
  <c r="G8" i="22"/>
  <c r="G7" i="22"/>
  <c r="C35" i="22" l="1"/>
  <c r="C46" i="22"/>
  <c r="C51" i="22" s="1"/>
  <c r="C10" i="18"/>
  <c r="C24" i="17" l="1"/>
  <c r="C58" i="15"/>
  <c r="C57" i="15"/>
  <c r="C56" i="15"/>
  <c r="C55" i="15"/>
  <c r="C17" i="19" l="1"/>
  <c r="C16" i="19"/>
  <c r="C15" i="19"/>
  <c r="C14" i="19"/>
  <c r="C18" i="19" s="1"/>
  <c r="L46" i="19" l="1"/>
  <c r="I39" i="19"/>
  <c r="H39" i="19"/>
  <c r="H38" i="19"/>
  <c r="J36" i="19"/>
  <c r="J31" i="19"/>
  <c r="C31" i="19"/>
  <c r="F29" i="19"/>
  <c r="C41" i="19"/>
  <c r="L10" i="19"/>
  <c r="L5" i="19"/>
  <c r="J38" i="19" l="1"/>
  <c r="C70" i="6"/>
  <c r="C69" i="6"/>
  <c r="C68" i="6"/>
  <c r="C67" i="6"/>
  <c r="C66" i="6"/>
  <c r="C66" i="7" l="1"/>
  <c r="C67" i="7"/>
  <c r="C68" i="7"/>
  <c r="C69" i="7"/>
  <c r="C69" i="8"/>
  <c r="C68" i="8"/>
  <c r="C67" i="8"/>
  <c r="C66" i="8"/>
  <c r="C70" i="8" s="1"/>
  <c r="C64" i="3"/>
  <c r="C63" i="3"/>
  <c r="C74" i="3" s="1"/>
  <c r="E70" i="4"/>
  <c r="E71" i="4" s="1"/>
  <c r="C70" i="4"/>
  <c r="C71" i="4" s="1"/>
  <c r="G71" i="4" s="1"/>
  <c r="G70" i="2"/>
  <c r="G71" i="2"/>
  <c r="G72" i="2"/>
  <c r="E69" i="2"/>
  <c r="E73" i="2" s="1"/>
  <c r="C69" i="2"/>
  <c r="C73" i="2" s="1"/>
  <c r="G73" i="2" s="1"/>
  <c r="E73" i="1"/>
  <c r="E74" i="1"/>
  <c r="E75" i="1"/>
  <c r="C72" i="1"/>
  <c r="E72" i="1" s="1"/>
  <c r="G69" i="2" l="1"/>
  <c r="G70" i="4"/>
  <c r="C76" i="1"/>
  <c r="E76" i="1" s="1"/>
  <c r="C70" i="7"/>
  <c r="C25" i="17"/>
  <c r="C13" i="17"/>
  <c r="C10" i="17"/>
  <c r="C27" i="17" s="1"/>
  <c r="C5" i="16"/>
  <c r="C59" i="15"/>
  <c r="C41" i="15"/>
  <c r="C28" i="15"/>
  <c r="C20" i="15"/>
  <c r="C61" i="15" l="1"/>
  <c r="C32" i="8" l="1"/>
  <c r="C32" i="7"/>
  <c r="H27" i="6"/>
  <c r="C31" i="6" s="1"/>
  <c r="C53" i="3" l="1"/>
  <c r="C55" i="8" l="1"/>
  <c r="H15" i="6" l="1"/>
  <c r="H17" i="6" s="1"/>
  <c r="J57" i="6"/>
  <c r="I70" i="6"/>
  <c r="I65" i="6"/>
  <c r="H73" i="6"/>
  <c r="H71" i="6"/>
  <c r="H70" i="6"/>
  <c r="H65" i="6"/>
  <c r="H64" i="6"/>
  <c r="J23" i="6"/>
  <c r="I24" i="6"/>
  <c r="J19" i="6"/>
  <c r="I31" i="6" l="1"/>
  <c r="I30" i="6"/>
  <c r="C23" i="6"/>
  <c r="H32" i="6"/>
  <c r="J24" i="6"/>
  <c r="J25" i="6" s="1"/>
  <c r="C22" i="6" s="1"/>
  <c r="I71" i="6"/>
  <c r="I75" i="6" s="1"/>
  <c r="C20" i="6" s="1"/>
  <c r="H72" i="6"/>
  <c r="H74" i="6" s="1"/>
  <c r="C27" i="6" s="1"/>
  <c r="I23" i="6"/>
  <c r="I28" i="6" s="1"/>
  <c r="C29" i="6" s="1"/>
  <c r="J62" i="6"/>
  <c r="J64" i="6" s="1"/>
  <c r="C30" i="6" s="1"/>
  <c r="H25" i="6"/>
  <c r="C21" i="6" s="1"/>
  <c r="I32" i="6" l="1"/>
  <c r="C24" i="6" s="1"/>
  <c r="C32" i="6"/>
  <c r="C55" i="6" s="1"/>
  <c r="F55" i="6" s="1"/>
  <c r="C52" i="8" l="1"/>
  <c r="C43" i="8"/>
  <c r="C10" i="8"/>
  <c r="C18" i="8" s="1"/>
  <c r="C52" i="7"/>
  <c r="C43" i="7"/>
  <c r="C10" i="7"/>
  <c r="C18" i="7" s="1"/>
  <c r="C72" i="8" l="1"/>
  <c r="C55" i="7"/>
  <c r="C72" i="7" s="1"/>
  <c r="C10" i="6"/>
  <c r="C18" i="6" s="1"/>
  <c r="C52" i="6"/>
  <c r="C43" i="6"/>
  <c r="C73" i="3" l="1"/>
  <c r="C72" i="3"/>
  <c r="C71" i="3"/>
  <c r="C70" i="3"/>
  <c r="C69" i="3"/>
  <c r="C68" i="3"/>
  <c r="C67" i="3"/>
  <c r="C66" i="3" l="1"/>
  <c r="C75" i="3" s="1"/>
  <c r="C41" i="3"/>
  <c r="C14" i="3"/>
  <c r="C12" i="3"/>
  <c r="C17" i="3" s="1"/>
  <c r="C30" i="4"/>
  <c r="C37" i="4"/>
  <c r="C35" i="4"/>
  <c r="C34" i="4"/>
  <c r="C33" i="4"/>
  <c r="C32" i="4"/>
  <c r="E56" i="4"/>
  <c r="E57" i="4"/>
  <c r="C57" i="4"/>
  <c r="C28" i="4"/>
  <c r="G72" i="4" l="1"/>
  <c r="G69" i="4"/>
  <c r="G68" i="4"/>
  <c r="G67" i="4"/>
  <c r="G66" i="4"/>
  <c r="G65" i="4"/>
  <c r="G64" i="4"/>
  <c r="G63" i="4"/>
  <c r="G62" i="4"/>
  <c r="G61" i="4"/>
  <c r="G60" i="4"/>
  <c r="G59" i="4"/>
  <c r="G57" i="4"/>
  <c r="G55" i="4"/>
  <c r="C58" i="4"/>
  <c r="G49" i="4"/>
  <c r="C48" i="4"/>
  <c r="G48" i="4" s="1"/>
  <c r="G47" i="4"/>
  <c r="G46" i="4"/>
  <c r="G45" i="4"/>
  <c r="G44" i="4"/>
  <c r="G43" i="4"/>
  <c r="G42" i="4"/>
  <c r="G41" i="4"/>
  <c r="G40" i="4"/>
  <c r="E39" i="4"/>
  <c r="C39" i="4"/>
  <c r="G38" i="4"/>
  <c r="G37" i="4"/>
  <c r="G36" i="4"/>
  <c r="G35" i="4"/>
  <c r="G34" i="4"/>
  <c r="G33" i="4"/>
  <c r="G32" i="4"/>
  <c r="G31" i="4"/>
  <c r="G30" i="4"/>
  <c r="G29" i="4"/>
  <c r="E28" i="4"/>
  <c r="G28" i="4" s="1"/>
  <c r="G27" i="4"/>
  <c r="G26" i="4"/>
  <c r="G25" i="4"/>
  <c r="G24" i="4"/>
  <c r="G23" i="4"/>
  <c r="G22" i="4"/>
  <c r="G21" i="4"/>
  <c r="G20" i="4"/>
  <c r="G19" i="4"/>
  <c r="E18" i="4"/>
  <c r="C18" i="4"/>
  <c r="G17" i="4"/>
  <c r="G16" i="4"/>
  <c r="G15" i="4"/>
  <c r="G14" i="4"/>
  <c r="G13" i="4"/>
  <c r="G12" i="4"/>
  <c r="G11" i="4"/>
  <c r="G10" i="4"/>
  <c r="G9" i="4"/>
  <c r="G8" i="4"/>
  <c r="G7" i="4"/>
  <c r="C37" i="3"/>
  <c r="C28" i="3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40" i="2"/>
  <c r="G41" i="2"/>
  <c r="G42" i="2"/>
  <c r="G43" i="2"/>
  <c r="G44" i="2"/>
  <c r="G45" i="2"/>
  <c r="G46" i="2"/>
  <c r="G47" i="2"/>
  <c r="G49" i="2"/>
  <c r="G53" i="2"/>
  <c r="G56" i="2"/>
  <c r="G58" i="2"/>
  <c r="G59" i="2"/>
  <c r="G60" i="2"/>
  <c r="G61" i="2"/>
  <c r="G62" i="2"/>
  <c r="G63" i="2"/>
  <c r="G64" i="2"/>
  <c r="G65" i="2"/>
  <c r="G66" i="2"/>
  <c r="G67" i="2"/>
  <c r="G68" i="2"/>
  <c r="G74" i="2"/>
  <c r="G7" i="2"/>
  <c r="E54" i="2"/>
  <c r="E52" i="2"/>
  <c r="E51" i="2"/>
  <c r="E50" i="2"/>
  <c r="C50" i="2"/>
  <c r="C54" i="2"/>
  <c r="E39" i="2"/>
  <c r="C52" i="2"/>
  <c r="G52" i="2" s="1"/>
  <c r="C51" i="2"/>
  <c r="G51" i="2" s="1"/>
  <c r="C57" i="2"/>
  <c r="C57" i="1"/>
  <c r="C28" i="2"/>
  <c r="E57" i="2"/>
  <c r="E18" i="2"/>
  <c r="E28" i="2"/>
  <c r="G28" i="2" l="1"/>
  <c r="G57" i="2"/>
  <c r="G54" i="2"/>
  <c r="C73" i="4"/>
  <c r="G50" i="2"/>
  <c r="C55" i="2"/>
  <c r="C42" i="3"/>
  <c r="C77" i="3" s="1"/>
  <c r="G18" i="4"/>
  <c r="G39" i="4"/>
  <c r="E58" i="4"/>
  <c r="G58" i="4" s="1"/>
  <c r="G51" i="4"/>
  <c r="G52" i="4"/>
  <c r="G50" i="4"/>
  <c r="E73" i="4" l="1"/>
  <c r="G73" i="4" s="1"/>
  <c r="E63" i="1"/>
  <c r="E64" i="1"/>
  <c r="E65" i="1"/>
  <c r="E66" i="1"/>
  <c r="E67" i="1"/>
  <c r="E68" i="1"/>
  <c r="E69" i="1"/>
  <c r="E70" i="1"/>
  <c r="E71" i="1"/>
  <c r="C48" i="2"/>
  <c r="G48" i="2" s="1"/>
  <c r="C39" i="2"/>
  <c r="G39" i="2" s="1"/>
  <c r="C18" i="2"/>
  <c r="G18" i="2" l="1"/>
  <c r="C75" i="2"/>
  <c r="E55" i="2"/>
  <c r="E75" i="2" l="1"/>
  <c r="G75" i="2" s="1"/>
  <c r="G55" i="2"/>
  <c r="C7" i="1"/>
  <c r="E7" i="1" s="1"/>
  <c r="C8" i="1"/>
  <c r="E8" i="1" s="1"/>
  <c r="C9" i="1"/>
  <c r="E9" i="1" s="1"/>
  <c r="E10" i="1"/>
  <c r="E11" i="1"/>
  <c r="E12" i="1"/>
  <c r="E13" i="1"/>
  <c r="E14" i="1"/>
  <c r="E15" i="1"/>
  <c r="E16" i="1"/>
  <c r="E17" i="1"/>
  <c r="E20" i="1"/>
  <c r="E21" i="1"/>
  <c r="E22" i="1"/>
  <c r="E23" i="1"/>
  <c r="E24" i="1"/>
  <c r="E25" i="1"/>
  <c r="E26" i="1"/>
  <c r="E27" i="1"/>
  <c r="E28" i="1"/>
  <c r="E30" i="1"/>
  <c r="C31" i="1"/>
  <c r="E31" i="1" s="1"/>
  <c r="C42" i="1"/>
  <c r="C51" i="1"/>
  <c r="C53" i="1"/>
  <c r="E53" i="1" s="1"/>
  <c r="C54" i="1"/>
  <c r="E54" i="1" s="1"/>
  <c r="C55" i="1"/>
  <c r="E55" i="1" s="1"/>
  <c r="E56" i="1"/>
  <c r="E57" i="1"/>
  <c r="C60" i="1"/>
  <c r="E62" i="1"/>
  <c r="C18" i="1" l="1"/>
  <c r="E18" i="1" s="1"/>
  <c r="C58" i="1"/>
  <c r="E58" i="1" s="1"/>
  <c r="E78" i="1"/>
  <c r="C78" i="1" l="1"/>
</calcChain>
</file>

<file path=xl/comments1.xml><?xml version="1.0" encoding="utf-8"?>
<comments xmlns="http://schemas.openxmlformats.org/spreadsheetml/2006/main">
  <authors>
    <author>Maria Isabel de la Garza Catano</author>
  </authors>
  <commentList>
    <comment ref="B7" authorId="0">
      <text>
        <r>
          <rPr>
            <sz val="9"/>
            <color indexed="81"/>
            <rFont val="Tahoma"/>
            <family val="2"/>
          </rPr>
          <t>Equipo de computo diverso</t>
        </r>
      </text>
    </comment>
  </commentList>
</comments>
</file>

<file path=xl/sharedStrings.xml><?xml version="1.0" encoding="utf-8"?>
<sst xmlns="http://schemas.openxmlformats.org/spreadsheetml/2006/main" count="662" uniqueCount="151">
  <si>
    <t>TOTAL GENERAL</t>
  </si>
  <si>
    <t>TOTAL SERVICIOS PERSONALES</t>
  </si>
  <si>
    <t>Estímulo por productividad</t>
  </si>
  <si>
    <t>Bono de transporte</t>
  </si>
  <si>
    <t>Canasta básica</t>
  </si>
  <si>
    <t>Aportaciones patronales de servicio médico</t>
  </si>
  <si>
    <t>Compensaciones</t>
  </si>
  <si>
    <t>Gratificación de fin de año</t>
  </si>
  <si>
    <t>Prima vacacional</t>
  </si>
  <si>
    <t>Sueldo tabular al personal permanente</t>
  </si>
  <si>
    <t>Dietas y retribuciones</t>
  </si>
  <si>
    <t>Arrendamiento de edificios y locales</t>
  </si>
  <si>
    <t>TOTAL ADECUACIÓN ESPACIOS JUZGADOS</t>
  </si>
  <si>
    <t>Muebles de oficina y estantería</t>
  </si>
  <si>
    <t>Instalación, reparación y mantenimiento de otros equipos</t>
  </si>
  <si>
    <t xml:space="preserve">Instalación, reparación y mantenimiento de sistemas de aire acondicionado, calefacción y de refrigeración </t>
  </si>
  <si>
    <t xml:space="preserve">Instalación, reparación y mantenimiento de equipos de generación eléctrica y aparatos electrónicos </t>
  </si>
  <si>
    <t>Conservación y mantenimiento menor de edificios y locales</t>
  </si>
  <si>
    <t>TOTAL ADECUACIÓN SALAS DE AUDIENCIAS</t>
  </si>
  <si>
    <t>Mobiliario</t>
  </si>
  <si>
    <t>Recubrimientos y acabados</t>
  </si>
  <si>
    <t>Aire acondicionado</t>
  </si>
  <si>
    <t>Instalaciones eléctricas y especiales</t>
  </si>
  <si>
    <t>Cancelería y Carpintería</t>
  </si>
  <si>
    <t>Muros</t>
  </si>
  <si>
    <t>Preliminares</t>
  </si>
  <si>
    <t>Mobiliario y Equipo de Oficina</t>
  </si>
  <si>
    <t>Contra incendios</t>
  </si>
  <si>
    <t>Instalaciones hidráulicas y sanitarias, mobiliario</t>
  </si>
  <si>
    <t>Cancelería, Carpintería y Herreria</t>
  </si>
  <si>
    <t>Trabajos preliminares</t>
  </si>
  <si>
    <t>TOTAL SALA DE AUDICIENCIAS</t>
  </si>
  <si>
    <t>Equipo de computo diverso</t>
  </si>
  <si>
    <t>TOTAL EQUIPAMIENTO</t>
  </si>
  <si>
    <t>Teléfono IP</t>
  </si>
  <si>
    <t>Pistola Lectora de Código de Barras</t>
  </si>
  <si>
    <t>Instalación de cableado estructurado</t>
  </si>
  <si>
    <t>Equipo de comunicación (Switch ptos.POE)</t>
  </si>
  <si>
    <t>UPS de 650 VA</t>
  </si>
  <si>
    <t>Regulador de Voltaje</t>
  </si>
  <si>
    <t xml:space="preserve">Impresor Láser Departamental </t>
  </si>
  <si>
    <t>Equipo de cómputo y de tecnología de la información</t>
  </si>
  <si>
    <t>TOTAL GASTO OPERATIVO</t>
  </si>
  <si>
    <t>Materiales utiles y eq. Menores de tecnología de la información y comunicaciones</t>
  </si>
  <si>
    <t>Servicio de vigilancia y monitoreo</t>
  </si>
  <si>
    <t>Arrendamiento de mobiliario y equipo de administración, educacional, recreativo y de bienes informáticos</t>
  </si>
  <si>
    <t>Servicio de agua potable</t>
  </si>
  <si>
    <t>Servicio telefonico tradicional</t>
  </si>
  <si>
    <t>Servicio de acceso a internet, redes, y procesamiento de la información</t>
  </si>
  <si>
    <t xml:space="preserve">Servicio de energía eléctrica </t>
  </si>
  <si>
    <t>Materiales y utiles de impresión y reproducción</t>
  </si>
  <si>
    <t>Material de limpieza</t>
  </si>
  <si>
    <t xml:space="preserve">Materiales y utiles de oficina </t>
  </si>
  <si>
    <t xml:space="preserve">PROYECTO POR PARTIDAS </t>
  </si>
  <si>
    <t>Juzgado Tijuana</t>
  </si>
  <si>
    <t xml:space="preserve">CREACIÓN DOS JUZGADOS FAMILIARES </t>
  </si>
  <si>
    <t xml:space="preserve">CREACIÓN DOS JUZGADOS MERCANTILES </t>
  </si>
  <si>
    <t>Juzgado Mexicali</t>
  </si>
  <si>
    <t>TOTAL</t>
  </si>
  <si>
    <t>Mexicali</t>
  </si>
  <si>
    <t>Tecate</t>
  </si>
  <si>
    <t>Equipo médico y de laboratorio</t>
  </si>
  <si>
    <t xml:space="preserve">Vehiculos y equipo de transporte </t>
  </si>
  <si>
    <t>Equipo de comunicación y telecomunicación</t>
  </si>
  <si>
    <t>Camaras y CCTV</t>
  </si>
  <si>
    <t>Telefono IP</t>
  </si>
  <si>
    <t>Mantenimiento preventivo de mesas necroquirurgicas</t>
  </si>
  <si>
    <t>Mantenimiento y reparación cuartos frigorificos</t>
  </si>
  <si>
    <t>Internet</t>
  </si>
  <si>
    <t>MEJORAMIENTO SEMEFO</t>
  </si>
  <si>
    <t>INCREMENTO</t>
  </si>
  <si>
    <t>NUEVOS</t>
  </si>
  <si>
    <t>TOTAL MEJORAMIENTO SEMEFO</t>
  </si>
  <si>
    <t>Tijuana</t>
  </si>
  <si>
    <t xml:space="preserve">Servicio de agua </t>
  </si>
  <si>
    <t>TECATE</t>
  </si>
  <si>
    <t>Ensenada</t>
  </si>
  <si>
    <t>SALAS TIJUANA</t>
  </si>
  <si>
    <t>Equipo de computo y de tecnologia de la informacion</t>
  </si>
  <si>
    <t>Arrendamiento de activos intangibles</t>
  </si>
  <si>
    <t>Software</t>
  </si>
  <si>
    <t>Equipos de generación eléctrica, aparatos y accesorios eléctricos</t>
  </si>
  <si>
    <t>Refacciones y accesorios menores de equipo de computo y tecnologías de la información</t>
  </si>
  <si>
    <t xml:space="preserve">Otros mobiliarios y equipos de administración </t>
  </si>
  <si>
    <t>Equipos y aparatos audiovisuales</t>
  </si>
  <si>
    <t>Refacciones y accesorios menores de equipo de comunicación y telecomunicación</t>
  </si>
  <si>
    <t>Instalación, reparación y mantenimiento de equipo de computo y tecnologias de la información</t>
  </si>
  <si>
    <t>Gastos médicos menores Magistrados Jueces y Consejeros</t>
  </si>
  <si>
    <t xml:space="preserve">IMPLEMENTACIÓN CECOFAM EN MEXICALI Y TECATE </t>
  </si>
  <si>
    <t>(UN JUZGADO EN MEXICALI Y UNO EN TIJUANA)</t>
  </si>
  <si>
    <t>(UNO EN MEXICALI Y UNO EN TIJUANA)</t>
  </si>
  <si>
    <t>LA ENCANTADA</t>
  </si>
  <si>
    <t>CIUDADES JUDICIAL TECATE</t>
  </si>
  <si>
    <t>CREACIÓN SALA PENAL Y CIVIL EN TIJUANA</t>
  </si>
  <si>
    <t>JUSTICIA LABORAL</t>
  </si>
  <si>
    <t>PARTIDA</t>
  </si>
  <si>
    <t>CONCEPTO</t>
  </si>
  <si>
    <t xml:space="preserve">Servicio telefónico tradicional </t>
  </si>
  <si>
    <t>Servicio al acceso a internet, redes y procesamiento de la información</t>
  </si>
  <si>
    <t>Costos por coberturas</t>
  </si>
  <si>
    <t xml:space="preserve">Equipo de computo y tecnología de la información </t>
  </si>
  <si>
    <t>Instalación, reparación y mantenimiento de equipo de cómputo y tecnologías de la información</t>
  </si>
  <si>
    <t xml:space="preserve">TOTAL EQUIPAMIENTO </t>
  </si>
  <si>
    <t xml:space="preserve">TOTAL SERVICIOS PERSONALES </t>
  </si>
  <si>
    <t>Agua y hielo para conusmo humano</t>
  </si>
  <si>
    <t xml:space="preserve">GRAN TOTAL </t>
  </si>
  <si>
    <t>SISTEMA DE DECLARACIÓN PATRIMONIAL</t>
  </si>
  <si>
    <t>VERSIONES PÚBLICAS DE SENTENCIAS</t>
  </si>
  <si>
    <t>Escaner</t>
  </si>
  <si>
    <t>TOTAL MOBILIARIO</t>
  </si>
  <si>
    <t xml:space="preserve">CONOSLIDACIÓN TRIBUNAL ELECTRÓNICO </t>
  </si>
  <si>
    <t>Equipo de comunicación y telefonía</t>
  </si>
  <si>
    <t>PROYECTO POR PARTIDAS</t>
  </si>
  <si>
    <t>Seguro de vida</t>
  </si>
  <si>
    <t>Seguro de vida Magistrados Jueces y Consejeros</t>
  </si>
  <si>
    <t>Seguro gastos médicos mayores Magistrados Jueces y Consejeros</t>
  </si>
  <si>
    <t>FORTALECIMIENTO SJPO MEXICALI</t>
  </si>
  <si>
    <t>Refacciones y accesorios menores de eq. de computo y tecnologias de la información</t>
  </si>
  <si>
    <t>Material electrico</t>
  </si>
  <si>
    <t xml:space="preserve">Otros mobiliarios y equipos de administracion </t>
  </si>
  <si>
    <t>Camaras fotograficas y de video</t>
  </si>
  <si>
    <t xml:space="preserve">Instalación, reparación y mantenimiento de equipo de computo y tecnologias de la informacion </t>
  </si>
  <si>
    <t>Equipos de generación electrica, aparatos y accesorios electricos</t>
  </si>
  <si>
    <t>Equipos y aparatos audivisuales</t>
  </si>
  <si>
    <t>TOTAL EQUIPAMIENTO TECNOLOGICO</t>
  </si>
  <si>
    <t>TOTAL FORTALECIMIENTO</t>
  </si>
  <si>
    <t xml:space="preserve">PROYECTOS </t>
  </si>
  <si>
    <t xml:space="preserve">TOTAL </t>
  </si>
  <si>
    <t>CIUDAD JUDICIAL ENSENADA</t>
  </si>
  <si>
    <t xml:space="preserve">FORTALECIMIENTO SJPO MEXICALI </t>
  </si>
  <si>
    <t>SJPO CIUDAD JUDICIAL TECATE</t>
  </si>
  <si>
    <t>SJPO CIUDAD JUDICIAL ENSENADA</t>
  </si>
  <si>
    <t>SJPO LA ENCANTADA</t>
  </si>
  <si>
    <t xml:space="preserve">MEJORAMIENTO SEMEFO </t>
  </si>
  <si>
    <t xml:space="preserve">CENTROS DE CONVIVENCIA FAMILIAR </t>
  </si>
  <si>
    <t>CREACIÓN JUZGADOS FAMILIARES</t>
  </si>
  <si>
    <t>CREACIÓN JUZGADOS MERCANTILES</t>
  </si>
  <si>
    <t xml:space="preserve">Material eléctrico </t>
  </si>
  <si>
    <t>$0.00</t>
  </si>
  <si>
    <t>$2,250,795.37</t>
  </si>
  <si>
    <t>$6,108,393.02</t>
  </si>
  <si>
    <t>$434,817.37</t>
  </si>
  <si>
    <t>$1,449,391.22</t>
  </si>
  <si>
    <t>$637,564.10</t>
  </si>
  <si>
    <t>$271,583.85</t>
  </si>
  <si>
    <t>$186,357.69</t>
  </si>
  <si>
    <t>$569,812.80</t>
  </si>
  <si>
    <t>$47,952.00</t>
  </si>
  <si>
    <t>$ 11,956,667.42</t>
  </si>
  <si>
    <t xml:space="preserve">SISTEMA DE DECLARACIÒN PATRIMONIAL </t>
  </si>
  <si>
    <t>SALA SIN MAGISTRADOS/PROYECTISTAS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</si>
</sst>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5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9">
    <xf numFmtId="0" fontId="0" fillId="0" borderId="0" xfId="0"/>
    <xf numFmtId="4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3" fontId="6" fillId="0" borderId="0" xfId="0" applyNumberFormat="1" applyFont="1"/>
    <xf numFmtId="44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43" fontId="5" fillId="0" borderId="0" xfId="0" applyNumberFormat="1" applyFont="1"/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wrapText="1" readingOrder="1"/>
    </xf>
    <xf numFmtId="43" fontId="0" fillId="2" borderId="0" xfId="0" applyNumberFormat="1" applyFill="1"/>
    <xf numFmtId="0" fontId="7" fillId="2" borderId="0" xfId="0" applyFon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0" fontId="5" fillId="0" borderId="0" xfId="0" applyFont="1"/>
    <xf numFmtId="43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 vertical="center"/>
    </xf>
    <xf numFmtId="4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0" fillId="2" borderId="0" xfId="0" applyNumberFormat="1" applyFill="1" applyAlignment="1">
      <alignment wrapText="1"/>
    </xf>
    <xf numFmtId="43" fontId="6" fillId="2" borderId="0" xfId="0" applyNumberFormat="1" applyFont="1" applyFill="1"/>
    <xf numFmtId="43" fontId="0" fillId="2" borderId="0" xfId="0" applyNumberFormat="1" applyFont="1" applyFill="1"/>
    <xf numFmtId="0" fontId="5" fillId="0" borderId="0" xfId="0" applyFont="1" applyFill="1" applyAlignment="1">
      <alignment wrapText="1"/>
    </xf>
    <xf numFmtId="43" fontId="0" fillId="0" borderId="0" xfId="0" applyNumberFormat="1" applyFill="1"/>
    <xf numFmtId="0" fontId="0" fillId="0" borderId="0" xfId="0" applyFill="1"/>
    <xf numFmtId="4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43" fontId="6" fillId="0" borderId="0" xfId="0" applyNumberFormat="1" applyFont="1" applyFill="1"/>
    <xf numFmtId="0" fontId="0" fillId="0" borderId="0" xfId="0" applyFill="1" applyAlignment="1">
      <alignment wrapText="1"/>
    </xf>
    <xf numFmtId="0" fontId="5" fillId="0" borderId="0" xfId="0" applyFont="1" applyFill="1"/>
    <xf numFmtId="0" fontId="7" fillId="0" borderId="0" xfId="0" applyFont="1" applyFill="1" applyAlignment="1">
      <alignment horizontal="left" wrapText="1" readingOrder="1"/>
    </xf>
    <xf numFmtId="0" fontId="7" fillId="0" borderId="0" xfId="0" applyFont="1" applyFill="1" applyAlignment="1">
      <alignment horizontal="left" vertical="top" wrapText="1" readingOrder="1"/>
    </xf>
    <xf numFmtId="43" fontId="5" fillId="0" borderId="0" xfId="0" applyNumberFormat="1" applyFont="1" applyFill="1"/>
    <xf numFmtId="43" fontId="0" fillId="0" borderId="0" xfId="0" applyNumberFormat="1" applyFill="1" applyAlignment="1">
      <alignment wrapText="1"/>
    </xf>
    <xf numFmtId="44" fontId="0" fillId="0" borderId="0" xfId="0" applyNumberFormat="1" applyFill="1" applyAlignment="1">
      <alignment wrapText="1"/>
    </xf>
    <xf numFmtId="0" fontId="0" fillId="2" borderId="0" xfId="0" applyFill="1"/>
    <xf numFmtId="43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 vertical="center"/>
    </xf>
    <xf numFmtId="164" fontId="0" fillId="0" borderId="0" xfId="0" applyNumberFormat="1"/>
    <xf numFmtId="44" fontId="0" fillId="0" borderId="0" xfId="0" applyNumberFormat="1"/>
    <xf numFmtId="44" fontId="6" fillId="0" borderId="0" xfId="0" applyNumberFormat="1" applyFont="1"/>
    <xf numFmtId="44" fontId="0" fillId="0" borderId="0" xfId="0" applyNumberFormat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5" fillId="0" borderId="0" xfId="10" applyAlignment="1">
      <alignment horizontal="center"/>
    </xf>
    <xf numFmtId="0" fontId="5" fillId="0" borderId="0" xfId="10"/>
    <xf numFmtId="0" fontId="6" fillId="0" borderId="0" xfId="10" applyFont="1" applyAlignment="1">
      <alignment horizontal="center" vertical="center"/>
    </xf>
    <xf numFmtId="0" fontId="6" fillId="0" borderId="0" xfId="10" applyFont="1"/>
    <xf numFmtId="0" fontId="5" fillId="0" borderId="0" xfId="1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10" applyFill="1" applyAlignment="1">
      <alignment horizontal="center" vertical="center"/>
    </xf>
    <xf numFmtId="0" fontId="5" fillId="0" borderId="0" xfId="10" applyFont="1" applyFill="1"/>
    <xf numFmtId="165" fontId="5" fillId="0" borderId="0" xfId="10" applyNumberFormat="1"/>
    <xf numFmtId="44" fontId="6" fillId="0" borderId="0" xfId="11" applyFont="1" applyAlignment="1">
      <alignment horizontal="center" vertical="center"/>
    </xf>
    <xf numFmtId="44" fontId="5" fillId="0" borderId="0" xfId="1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5" fillId="0" borderId="0" xfId="10" applyFont="1"/>
    <xf numFmtId="0" fontId="5" fillId="0" borderId="0" xfId="10" applyFont="1" applyFill="1" applyAlignment="1"/>
    <xf numFmtId="0" fontId="9" fillId="0" borderId="0" xfId="9" applyFont="1" applyAlignment="1"/>
    <xf numFmtId="0" fontId="9" fillId="0" borderId="0" xfId="9" applyFont="1" applyAlignment="1">
      <alignment horizontal="center" vertical="center"/>
    </xf>
    <xf numFmtId="0" fontId="0" fillId="0" borderId="0" xfId="0" applyAlignment="1"/>
    <xf numFmtId="0" fontId="11" fillId="0" borderId="0" xfId="9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44" fontId="0" fillId="0" borderId="0" xfId="11" applyFont="1" applyFill="1" applyAlignment="1">
      <alignment horizontal="center" vertical="center"/>
    </xf>
    <xf numFmtId="0" fontId="9" fillId="0" borderId="0" xfId="0" applyFont="1" applyFill="1"/>
    <xf numFmtId="0" fontId="6" fillId="0" borderId="0" xfId="10" applyFont="1" applyFill="1"/>
    <xf numFmtId="44" fontId="9" fillId="0" borderId="0" xfId="11" applyFont="1" applyFill="1"/>
    <xf numFmtId="0" fontId="6" fillId="0" borderId="0" xfId="0" applyFont="1" applyFill="1"/>
    <xf numFmtId="164" fontId="6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3" fontId="0" fillId="0" borderId="0" xfId="0" applyNumberFormat="1" applyFill="1" applyBorder="1" applyAlignment="1">
      <alignment wrapText="1"/>
    </xf>
    <xf numFmtId="43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10" applyFont="1" applyAlignment="1">
      <alignment horizontal="right"/>
    </xf>
    <xf numFmtId="0" fontId="9" fillId="0" borderId="0" xfId="9" applyFont="1" applyAlignment="1">
      <alignment horizontal="left"/>
    </xf>
    <xf numFmtId="44" fontId="6" fillId="0" borderId="0" xfId="13" applyFont="1"/>
    <xf numFmtId="0" fontId="9" fillId="0" borderId="0" xfId="9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10" applyFont="1" applyFill="1" applyAlignment="1">
      <alignment horizontal="left"/>
    </xf>
    <xf numFmtId="4" fontId="5" fillId="0" borderId="0" xfId="10" applyNumberFormat="1" applyFill="1" applyAlignment="1">
      <alignment horizontal="center" vertical="center"/>
    </xf>
    <xf numFmtId="4" fontId="6" fillId="0" borderId="0" xfId="10" applyNumberFormat="1" applyFont="1" applyFill="1" applyAlignment="1">
      <alignment horizontal="center" vertical="center"/>
    </xf>
    <xf numFmtId="43" fontId="0" fillId="0" borderId="0" xfId="0" applyNumberFormat="1" applyFill="1" applyAlignment="1">
      <alignment horizontal="right" wrapText="1"/>
    </xf>
    <xf numFmtId="43" fontId="0" fillId="0" borderId="0" xfId="0" applyNumberFormat="1" applyFill="1" applyBorder="1" applyAlignment="1">
      <alignment horizontal="right"/>
    </xf>
    <xf numFmtId="44" fontId="0" fillId="0" borderId="0" xfId="13" applyFont="1"/>
    <xf numFmtId="44" fontId="6" fillId="0" borderId="0" xfId="13" applyFont="1" applyFill="1"/>
    <xf numFmtId="44" fontId="6" fillId="0" borderId="0" xfId="13" applyFont="1" applyAlignment="1">
      <alignment horizontal="right"/>
    </xf>
    <xf numFmtId="0" fontId="0" fillId="0" borderId="0" xfId="0" applyFont="1"/>
    <xf numFmtId="0" fontId="9" fillId="0" borderId="0" xfId="9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4">
    <cellStyle name="Millares 2" xfId="12"/>
    <cellStyle name="Moneda" xfId="13" builtinId="4"/>
    <cellStyle name="Moneda 2" xfId="4"/>
    <cellStyle name="Moneda 2 2" xfId="8"/>
    <cellStyle name="Moneda 3" xfId="3"/>
    <cellStyle name="Moneda 3 2" xfId="11"/>
    <cellStyle name="Moneda 4" xfId="7"/>
    <cellStyle name="Normal" xfId="0" builtinId="0"/>
    <cellStyle name="Normal 2" xfId="1"/>
    <cellStyle name="Normal 2 2" xfId="5"/>
    <cellStyle name="Normal 2 3" xfId="9"/>
    <cellStyle name="Normal 3" xfId="2"/>
    <cellStyle name="Normal 3 2" xfId="10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D38"/>
  <sheetViews>
    <sheetView tabSelected="1" workbookViewId="0">
      <selection activeCell="D15" sqref="D15"/>
    </sheetView>
  </sheetViews>
  <sheetFormatPr baseColWidth="10" defaultColWidth="11.42578125" defaultRowHeight="12.75" x14ac:dyDescent="0.2"/>
  <cols>
    <col min="3" max="3" width="29.7109375" customWidth="1"/>
    <col min="4" max="4" width="16" bestFit="1" customWidth="1"/>
  </cols>
  <sheetData>
    <row r="2" spans="2:4" x14ac:dyDescent="0.2">
      <c r="B2" s="87" t="s">
        <v>126</v>
      </c>
      <c r="D2" s="87" t="s">
        <v>127</v>
      </c>
    </row>
    <row r="3" spans="2:4" x14ac:dyDescent="0.2">
      <c r="B3" s="87"/>
      <c r="D3" s="87"/>
    </row>
    <row r="4" spans="2:4" ht="15" x14ac:dyDescent="0.25">
      <c r="B4" s="84" t="s">
        <v>110</v>
      </c>
      <c r="C4" s="65"/>
      <c r="D4" s="85">
        <v>29446554.322079998</v>
      </c>
    </row>
    <row r="5" spans="2:4" ht="15" x14ac:dyDescent="0.25">
      <c r="B5" s="84" t="s">
        <v>94</v>
      </c>
      <c r="D5" s="85">
        <v>204103140.8192414</v>
      </c>
    </row>
    <row r="6" spans="2:4" ht="15" x14ac:dyDescent="0.25">
      <c r="B6" s="84" t="s">
        <v>107</v>
      </c>
      <c r="D6" s="85">
        <v>31469966.605900005</v>
      </c>
    </row>
    <row r="7" spans="2:4" ht="15" x14ac:dyDescent="0.25">
      <c r="B7" s="86" t="s">
        <v>132</v>
      </c>
      <c r="D7" s="85">
        <v>118571329.04000001</v>
      </c>
    </row>
    <row r="8" spans="2:4" ht="15" x14ac:dyDescent="0.25">
      <c r="B8" s="86" t="s">
        <v>131</v>
      </c>
      <c r="D8" s="85">
        <v>87298172.550840005</v>
      </c>
    </row>
    <row r="9" spans="2:4" ht="15" x14ac:dyDescent="0.25">
      <c r="B9" s="86" t="s">
        <v>130</v>
      </c>
      <c r="D9" s="85">
        <v>74569153.172040001</v>
      </c>
    </row>
    <row r="10" spans="2:4" ht="15" x14ac:dyDescent="0.25">
      <c r="B10" s="86" t="s">
        <v>129</v>
      </c>
      <c r="D10" s="85">
        <v>69018751.298693329</v>
      </c>
    </row>
    <row r="11" spans="2:4" ht="15" x14ac:dyDescent="0.25">
      <c r="B11" s="86" t="s">
        <v>133</v>
      </c>
      <c r="D11" s="85">
        <v>13996263.427441332</v>
      </c>
    </row>
    <row r="12" spans="2:4" ht="15" x14ac:dyDescent="0.25">
      <c r="B12" s="86" t="s">
        <v>134</v>
      </c>
      <c r="D12" s="85">
        <v>6456563.8174399994</v>
      </c>
    </row>
    <row r="13" spans="2:4" ht="15" x14ac:dyDescent="0.25">
      <c r="B13" s="86" t="s">
        <v>135</v>
      </c>
      <c r="D13" s="85">
        <v>19317992.207079999</v>
      </c>
    </row>
    <row r="14" spans="2:4" ht="15" x14ac:dyDescent="0.25">
      <c r="B14" s="86" t="s">
        <v>136</v>
      </c>
      <c r="D14" s="85">
        <v>26968855.00821333</v>
      </c>
    </row>
    <row r="15" spans="2:4" ht="15" x14ac:dyDescent="0.25">
      <c r="B15" s="86" t="s">
        <v>149</v>
      </c>
      <c r="D15" s="46">
        <v>400712.592</v>
      </c>
    </row>
    <row r="16" spans="2:4" ht="15" x14ac:dyDescent="0.25">
      <c r="B16" s="86" t="s">
        <v>150</v>
      </c>
      <c r="D16" s="46">
        <f>'SALAS APELACIÓN TIJ SIN MAG'!C70</f>
        <v>20116636.93</v>
      </c>
    </row>
    <row r="18" spans="4:4" x14ac:dyDescent="0.2">
      <c r="D18" s="46">
        <f>SUM(D4:D16)</f>
        <v>701734091.79096937</v>
      </c>
    </row>
    <row r="38" ht="14.25" customHeight="1" x14ac:dyDescent="0.2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78"/>
  <sheetViews>
    <sheetView zoomScaleNormal="100" workbookViewId="0">
      <selection activeCell="A4" sqref="A4"/>
    </sheetView>
  </sheetViews>
  <sheetFormatPr baseColWidth="10" defaultColWidth="11.42578125" defaultRowHeight="12.75" x14ac:dyDescent="0.2"/>
  <cols>
    <col min="1" max="1" width="13.7109375" style="3" customWidth="1"/>
    <col min="2" max="2" width="45.7109375" style="2" customWidth="1"/>
    <col min="3" max="3" width="18" style="1" hidden="1" customWidth="1"/>
    <col min="4" max="4" width="11.42578125" hidden="1" customWidth="1"/>
    <col min="5" max="5" width="16.28515625" hidden="1" customWidth="1"/>
    <col min="6" max="6" width="11.42578125" hidden="1" customWidth="1"/>
    <col min="7" max="7" width="15.28515625" customWidth="1"/>
  </cols>
  <sheetData>
    <row r="1" spans="1:10" x14ac:dyDescent="0.2">
      <c r="F1" s="19">
        <v>2</v>
      </c>
    </row>
    <row r="2" spans="1:10" x14ac:dyDescent="0.2">
      <c r="A2" s="98" t="s">
        <v>53</v>
      </c>
      <c r="B2" s="98"/>
      <c r="C2" s="98"/>
      <c r="D2" s="98"/>
      <c r="E2" s="98"/>
      <c r="F2" s="98"/>
      <c r="G2" s="98"/>
      <c r="I2" s="28"/>
      <c r="J2" s="28"/>
    </row>
    <row r="3" spans="1:10" x14ac:dyDescent="0.2">
      <c r="A3" s="98" t="s">
        <v>88</v>
      </c>
      <c r="B3" s="98"/>
      <c r="C3" s="98"/>
      <c r="D3" s="98"/>
      <c r="E3" s="98"/>
      <c r="F3" s="98"/>
      <c r="G3" s="98"/>
    </row>
    <row r="4" spans="1:10" x14ac:dyDescent="0.2">
      <c r="A4" s="18"/>
      <c r="B4" s="18"/>
      <c r="C4" s="18"/>
      <c r="D4" s="18"/>
      <c r="E4" s="18"/>
    </row>
    <row r="5" spans="1:10" x14ac:dyDescent="0.2">
      <c r="A5" s="18"/>
      <c r="B5" s="18"/>
      <c r="C5" s="18"/>
      <c r="D5" s="18"/>
      <c r="E5" s="18"/>
    </row>
    <row r="6" spans="1:10" x14ac:dyDescent="0.2">
      <c r="C6" s="21" t="s">
        <v>59</v>
      </c>
      <c r="D6" s="22"/>
      <c r="E6" s="22" t="s">
        <v>60</v>
      </c>
      <c r="G6" s="22" t="s">
        <v>58</v>
      </c>
    </row>
    <row r="7" spans="1:10" x14ac:dyDescent="0.2">
      <c r="A7" s="3">
        <v>21101</v>
      </c>
      <c r="B7" s="26" t="s">
        <v>52</v>
      </c>
      <c r="C7" s="13">
        <v>7576.87</v>
      </c>
      <c r="D7" s="28"/>
      <c r="E7" s="13">
        <v>7576.87</v>
      </c>
      <c r="F7" s="28"/>
      <c r="G7" s="27">
        <f>C7+E7</f>
        <v>15153.74</v>
      </c>
      <c r="H7" s="28"/>
      <c r="I7" s="27"/>
      <c r="J7" s="1"/>
    </row>
    <row r="8" spans="1:10" x14ac:dyDescent="0.2">
      <c r="A8" s="3">
        <v>21601</v>
      </c>
      <c r="B8" s="26" t="s">
        <v>51</v>
      </c>
      <c r="C8" s="13">
        <v>1000</v>
      </c>
      <c r="D8" s="28"/>
      <c r="E8" s="13">
        <v>1000</v>
      </c>
      <c r="F8" s="28"/>
      <c r="G8" s="27">
        <f t="shared" ref="G8:G72" si="0">C8+E8</f>
        <v>2000</v>
      </c>
      <c r="H8" s="28"/>
      <c r="I8" s="27"/>
      <c r="J8" s="1"/>
    </row>
    <row r="9" spans="1:10" x14ac:dyDescent="0.2">
      <c r="A9" s="3">
        <v>21201</v>
      </c>
      <c r="B9" s="26" t="s">
        <v>50</v>
      </c>
      <c r="C9" s="13">
        <v>300</v>
      </c>
      <c r="D9" s="28"/>
      <c r="E9" s="13">
        <v>300</v>
      </c>
      <c r="F9" s="28"/>
      <c r="G9" s="27">
        <f t="shared" si="0"/>
        <v>600</v>
      </c>
      <c r="H9" s="28"/>
      <c r="I9" s="27"/>
      <c r="J9" s="1"/>
    </row>
    <row r="10" spans="1:10" x14ac:dyDescent="0.2">
      <c r="A10" s="3">
        <v>31101</v>
      </c>
      <c r="B10" s="26" t="s">
        <v>49</v>
      </c>
      <c r="C10" s="13">
        <v>45000</v>
      </c>
      <c r="D10" s="28"/>
      <c r="E10" s="13">
        <v>45000</v>
      </c>
      <c r="F10" s="28"/>
      <c r="G10" s="27">
        <f t="shared" si="0"/>
        <v>90000</v>
      </c>
      <c r="H10" s="28"/>
      <c r="I10" s="27"/>
      <c r="J10" s="1"/>
    </row>
    <row r="11" spans="1:10" x14ac:dyDescent="0.2">
      <c r="A11" s="3">
        <v>31301</v>
      </c>
      <c r="B11" s="26" t="s">
        <v>46</v>
      </c>
      <c r="C11" s="13">
        <v>11000</v>
      </c>
      <c r="D11" s="28"/>
      <c r="E11" s="13">
        <v>11000</v>
      </c>
      <c r="F11" s="28"/>
      <c r="G11" s="27">
        <f t="shared" si="0"/>
        <v>22000</v>
      </c>
      <c r="H11" s="28"/>
      <c r="I11" s="27"/>
      <c r="J11" s="1"/>
    </row>
    <row r="12" spans="1:10" ht="25.5" x14ac:dyDescent="0.2">
      <c r="A12" s="3">
        <v>31701</v>
      </c>
      <c r="B12" s="26" t="s">
        <v>48</v>
      </c>
      <c r="C12" s="13">
        <v>60000</v>
      </c>
      <c r="D12" s="39"/>
      <c r="E12" s="13">
        <v>60000</v>
      </c>
      <c r="F12" s="28"/>
      <c r="G12" s="27">
        <f t="shared" si="0"/>
        <v>120000</v>
      </c>
      <c r="H12" s="28"/>
      <c r="I12" s="27"/>
      <c r="J12" s="1"/>
    </row>
    <row r="13" spans="1:10" x14ac:dyDescent="0.2">
      <c r="A13" s="3">
        <v>31401</v>
      </c>
      <c r="B13" s="26" t="s">
        <v>47</v>
      </c>
      <c r="C13" s="13">
        <v>8000</v>
      </c>
      <c r="D13" s="28"/>
      <c r="E13" s="13">
        <v>8000</v>
      </c>
      <c r="F13" s="28"/>
      <c r="G13" s="27">
        <f t="shared" si="0"/>
        <v>16000</v>
      </c>
      <c r="H13" s="28"/>
      <c r="I13" s="27"/>
      <c r="J13" s="1"/>
    </row>
    <row r="14" spans="1:10" x14ac:dyDescent="0.2">
      <c r="A14" s="3">
        <v>22105</v>
      </c>
      <c r="B14" s="26" t="s">
        <v>46</v>
      </c>
      <c r="C14" s="13">
        <v>500</v>
      </c>
      <c r="D14" s="28"/>
      <c r="E14" s="13">
        <v>500</v>
      </c>
      <c r="F14" s="28"/>
      <c r="G14" s="27">
        <f t="shared" si="0"/>
        <v>1000</v>
      </c>
      <c r="H14" s="28"/>
      <c r="I14" s="27"/>
      <c r="J14" s="1"/>
    </row>
    <row r="15" spans="1:10" ht="38.25" x14ac:dyDescent="0.2">
      <c r="A15" s="3">
        <v>32301</v>
      </c>
      <c r="B15" s="26" t="s">
        <v>45</v>
      </c>
      <c r="C15" s="40">
        <v>4200</v>
      </c>
      <c r="D15" s="28"/>
      <c r="E15" s="40">
        <v>4200</v>
      </c>
      <c r="F15" s="28"/>
      <c r="G15" s="27">
        <f t="shared" si="0"/>
        <v>8400</v>
      </c>
      <c r="H15" s="28"/>
      <c r="I15" s="29"/>
      <c r="J15" s="1"/>
    </row>
    <row r="16" spans="1:10" x14ac:dyDescent="0.2">
      <c r="A16" s="3">
        <v>33801</v>
      </c>
      <c r="B16" s="26" t="s">
        <v>44</v>
      </c>
      <c r="C16" s="13">
        <v>511000</v>
      </c>
      <c r="D16" s="28"/>
      <c r="E16" s="13">
        <v>511000</v>
      </c>
      <c r="F16" s="28"/>
      <c r="G16" s="27">
        <f t="shared" si="0"/>
        <v>1022000</v>
      </c>
      <c r="H16" s="28"/>
      <c r="I16" s="27"/>
      <c r="J16" s="1"/>
    </row>
    <row r="17" spans="1:10" ht="25.5" x14ac:dyDescent="0.2">
      <c r="A17" s="3">
        <v>21401</v>
      </c>
      <c r="B17" s="26" t="s">
        <v>43</v>
      </c>
      <c r="C17" s="13">
        <v>20000</v>
      </c>
      <c r="D17" s="28"/>
      <c r="E17" s="13">
        <v>20000</v>
      </c>
      <c r="F17" s="28"/>
      <c r="G17" s="27">
        <f t="shared" si="0"/>
        <v>40000</v>
      </c>
      <c r="H17" s="28"/>
      <c r="I17" s="27"/>
      <c r="J17" s="1"/>
    </row>
    <row r="18" spans="1:10" x14ac:dyDescent="0.2">
      <c r="B18" s="30" t="s">
        <v>42</v>
      </c>
      <c r="C18" s="31">
        <f>SUM(C7:C17)</f>
        <v>668576.87</v>
      </c>
      <c r="D18" s="28"/>
      <c r="E18" s="31">
        <f>SUM(E7:E17)</f>
        <v>668576.87</v>
      </c>
      <c r="F18" s="28"/>
      <c r="G18" s="31">
        <f>C18+E18</f>
        <v>1337153.74</v>
      </c>
      <c r="H18" s="28"/>
    </row>
    <row r="19" spans="1:10" x14ac:dyDescent="0.2">
      <c r="B19" s="32"/>
      <c r="C19" s="27"/>
      <c r="D19" s="28"/>
      <c r="E19" s="27"/>
      <c r="F19" s="28"/>
      <c r="G19" s="27">
        <f t="shared" si="0"/>
        <v>0</v>
      </c>
      <c r="H19" s="28"/>
    </row>
    <row r="20" spans="1:10" x14ac:dyDescent="0.2">
      <c r="A20" s="3">
        <v>51501</v>
      </c>
      <c r="B20" s="33" t="s">
        <v>41</v>
      </c>
      <c r="C20" s="13">
        <v>109316</v>
      </c>
      <c r="D20" s="28"/>
      <c r="E20" s="13">
        <v>109316</v>
      </c>
      <c r="F20" s="28"/>
      <c r="G20" s="27">
        <f t="shared" si="0"/>
        <v>218632</v>
      </c>
      <c r="H20" s="28"/>
    </row>
    <row r="21" spans="1:10" x14ac:dyDescent="0.2">
      <c r="A21" s="3">
        <v>51502</v>
      </c>
      <c r="B21" s="33" t="s">
        <v>40</v>
      </c>
      <c r="C21" s="13">
        <v>20880</v>
      </c>
      <c r="D21" s="28"/>
      <c r="E21" s="13">
        <v>20880</v>
      </c>
      <c r="F21" s="28"/>
      <c r="G21" s="27">
        <f t="shared" si="0"/>
        <v>41760</v>
      </c>
      <c r="H21" s="28"/>
    </row>
    <row r="22" spans="1:10" x14ac:dyDescent="0.2">
      <c r="A22" s="3">
        <v>24601</v>
      </c>
      <c r="B22" s="33" t="s">
        <v>39</v>
      </c>
      <c r="C22" s="13">
        <v>1160</v>
      </c>
      <c r="D22" s="28"/>
      <c r="E22" s="13">
        <v>1160</v>
      </c>
      <c r="F22" s="28"/>
      <c r="G22" s="27">
        <f t="shared" si="0"/>
        <v>2320</v>
      </c>
      <c r="H22" s="28"/>
    </row>
    <row r="23" spans="1:10" x14ac:dyDescent="0.2">
      <c r="A23" s="3">
        <v>56601</v>
      </c>
      <c r="B23" s="33" t="s">
        <v>38</v>
      </c>
      <c r="C23" s="13">
        <v>2088</v>
      </c>
      <c r="D23" s="28"/>
      <c r="E23" s="13">
        <v>2088</v>
      </c>
      <c r="F23" s="28"/>
      <c r="G23" s="27">
        <f t="shared" si="0"/>
        <v>4176</v>
      </c>
      <c r="H23" s="28"/>
    </row>
    <row r="24" spans="1:10" x14ac:dyDescent="0.2">
      <c r="A24" s="3">
        <v>56501</v>
      </c>
      <c r="B24" s="33" t="s">
        <v>37</v>
      </c>
      <c r="C24" s="13">
        <v>18560</v>
      </c>
      <c r="D24" s="28"/>
      <c r="E24" s="13">
        <v>18560</v>
      </c>
      <c r="F24" s="28"/>
      <c r="G24" s="27">
        <f t="shared" si="0"/>
        <v>37120</v>
      </c>
      <c r="H24" s="28"/>
    </row>
    <row r="25" spans="1:10" x14ac:dyDescent="0.2">
      <c r="A25" s="3">
        <v>29401</v>
      </c>
      <c r="B25" s="33" t="s">
        <v>36</v>
      </c>
      <c r="C25" s="13">
        <v>12528</v>
      </c>
      <c r="D25" s="28"/>
      <c r="E25" s="13">
        <v>12528</v>
      </c>
      <c r="F25" s="28"/>
      <c r="G25" s="27">
        <f t="shared" si="0"/>
        <v>25056</v>
      </c>
      <c r="H25" s="28"/>
    </row>
    <row r="26" spans="1:10" x14ac:dyDescent="0.2">
      <c r="A26" s="3">
        <v>51503</v>
      </c>
      <c r="B26" s="33" t="s">
        <v>35</v>
      </c>
      <c r="C26" s="13">
        <v>1856</v>
      </c>
      <c r="D26" s="28"/>
      <c r="E26" s="13">
        <v>1856</v>
      </c>
      <c r="F26" s="28"/>
      <c r="G26" s="27">
        <f t="shared" si="0"/>
        <v>3712</v>
      </c>
      <c r="H26" s="28"/>
    </row>
    <row r="27" spans="1:10" x14ac:dyDescent="0.2">
      <c r="A27" s="3">
        <v>56501</v>
      </c>
      <c r="B27" s="33" t="s">
        <v>34</v>
      </c>
      <c r="C27" s="13">
        <v>129000</v>
      </c>
      <c r="D27" s="28"/>
      <c r="E27" s="13">
        <v>129000</v>
      </c>
      <c r="F27" s="28"/>
      <c r="G27" s="27">
        <f t="shared" si="0"/>
        <v>258000</v>
      </c>
      <c r="H27" s="28"/>
    </row>
    <row r="28" spans="1:10" x14ac:dyDescent="0.2">
      <c r="B28" s="30" t="s">
        <v>33</v>
      </c>
      <c r="C28" s="31">
        <f>SUM(C20:C27)</f>
        <v>295388</v>
      </c>
      <c r="D28" s="28"/>
      <c r="E28" s="31">
        <f>SUM(E20:E27)</f>
        <v>295388</v>
      </c>
      <c r="F28" s="28"/>
      <c r="G28" s="31">
        <f>C28+E28</f>
        <v>590776</v>
      </c>
      <c r="H28" s="28"/>
    </row>
    <row r="29" spans="1:10" x14ac:dyDescent="0.2">
      <c r="B29" s="32"/>
      <c r="C29" s="27"/>
      <c r="D29" s="28"/>
      <c r="E29" s="27"/>
      <c r="F29" s="28"/>
      <c r="G29" s="27">
        <f t="shared" si="0"/>
        <v>0</v>
      </c>
      <c r="H29" s="28"/>
    </row>
    <row r="30" spans="1:10" hidden="1" x14ac:dyDescent="0.2">
      <c r="A30" s="15">
        <v>35101</v>
      </c>
      <c r="B30" s="34" t="s">
        <v>30</v>
      </c>
      <c r="C30" s="27">
        <f>25000*1.16</f>
        <v>28999.999999999996</v>
      </c>
      <c r="D30" s="28"/>
      <c r="E30" s="27"/>
      <c r="F30" s="28"/>
      <c r="G30" s="27">
        <f t="shared" si="0"/>
        <v>28999.999999999996</v>
      </c>
      <c r="H30" s="28"/>
    </row>
    <row r="31" spans="1:10" hidden="1" x14ac:dyDescent="0.2">
      <c r="A31" s="15">
        <v>35101</v>
      </c>
      <c r="B31" s="34" t="s">
        <v>24</v>
      </c>
      <c r="C31" s="27"/>
      <c r="D31" s="28"/>
      <c r="E31" s="27"/>
      <c r="F31" s="28"/>
      <c r="G31" s="27">
        <f t="shared" si="0"/>
        <v>0</v>
      </c>
      <c r="H31" s="28"/>
    </row>
    <row r="32" spans="1:10" hidden="1" x14ac:dyDescent="0.2">
      <c r="A32" s="15">
        <v>35101</v>
      </c>
      <c r="B32" s="34" t="s">
        <v>29</v>
      </c>
      <c r="C32" s="27">
        <f>90000*1.16</f>
        <v>104400</v>
      </c>
      <c r="D32" s="28"/>
      <c r="E32" s="27"/>
      <c r="F32" s="28"/>
      <c r="G32" s="27">
        <f t="shared" si="0"/>
        <v>104400</v>
      </c>
      <c r="H32" s="28"/>
    </row>
    <row r="33" spans="1:8" hidden="1" x14ac:dyDescent="0.2">
      <c r="A33" s="15">
        <v>35101</v>
      </c>
      <c r="B33" s="34" t="s">
        <v>28</v>
      </c>
      <c r="C33" s="27">
        <f>3000*1.16</f>
        <v>3479.9999999999995</v>
      </c>
      <c r="D33" s="28"/>
      <c r="E33" s="27"/>
      <c r="F33" s="28"/>
      <c r="G33" s="27">
        <f t="shared" si="0"/>
        <v>3479.9999999999995</v>
      </c>
      <c r="H33" s="28"/>
    </row>
    <row r="34" spans="1:8" hidden="1" x14ac:dyDescent="0.2">
      <c r="A34" s="15">
        <v>35706</v>
      </c>
      <c r="B34" s="34" t="s">
        <v>22</v>
      </c>
      <c r="C34" s="27">
        <f>150000*1.16</f>
        <v>174000</v>
      </c>
      <c r="D34" s="28"/>
      <c r="E34" s="27"/>
      <c r="F34" s="28"/>
      <c r="G34" s="27">
        <f t="shared" si="0"/>
        <v>174000</v>
      </c>
      <c r="H34" s="28"/>
    </row>
    <row r="35" spans="1:8" hidden="1" x14ac:dyDescent="0.2">
      <c r="A35" s="15">
        <v>35704</v>
      </c>
      <c r="B35" s="34" t="s">
        <v>21</v>
      </c>
      <c r="C35" s="27">
        <f>160000*1.16</f>
        <v>185600</v>
      </c>
      <c r="D35" s="28"/>
      <c r="E35" s="27"/>
      <c r="F35" s="28"/>
      <c r="G35" s="27">
        <f t="shared" si="0"/>
        <v>185600</v>
      </c>
      <c r="H35" s="28"/>
    </row>
    <row r="36" spans="1:8" hidden="1" x14ac:dyDescent="0.2">
      <c r="A36" s="15">
        <v>35708</v>
      </c>
      <c r="B36" s="34" t="s">
        <v>27</v>
      </c>
      <c r="C36" s="27"/>
      <c r="D36" s="28"/>
      <c r="E36" s="27"/>
      <c r="F36" s="28"/>
      <c r="G36" s="27">
        <f t="shared" si="0"/>
        <v>0</v>
      </c>
      <c r="H36" s="28"/>
    </row>
    <row r="37" spans="1:8" hidden="1" x14ac:dyDescent="0.2">
      <c r="A37" s="3">
        <v>35101</v>
      </c>
      <c r="B37" s="34" t="s">
        <v>20</v>
      </c>
      <c r="C37" s="27">
        <f>62614*1.16</f>
        <v>72632.239999999991</v>
      </c>
      <c r="D37" s="28"/>
      <c r="E37" s="27"/>
      <c r="F37" s="28"/>
      <c r="G37" s="27">
        <f t="shared" si="0"/>
        <v>72632.239999999991</v>
      </c>
      <c r="H37" s="28"/>
    </row>
    <row r="38" spans="1:8" hidden="1" x14ac:dyDescent="0.2">
      <c r="A38" s="3">
        <v>51101</v>
      </c>
      <c r="B38" s="34" t="s">
        <v>26</v>
      </c>
      <c r="C38" s="27"/>
      <c r="D38" s="28"/>
      <c r="E38" s="27"/>
      <c r="F38" s="28"/>
      <c r="G38" s="27">
        <f t="shared" si="0"/>
        <v>0</v>
      </c>
      <c r="H38" s="28"/>
    </row>
    <row r="39" spans="1:8" hidden="1" x14ac:dyDescent="0.2">
      <c r="B39" s="30" t="s">
        <v>12</v>
      </c>
      <c r="C39" s="31">
        <f>SUM(C30:C38)</f>
        <v>569112.24</v>
      </c>
      <c r="D39" s="28"/>
      <c r="E39" s="31">
        <f>SUM(E30:E38)</f>
        <v>0</v>
      </c>
      <c r="F39" s="28"/>
      <c r="G39" s="27">
        <f t="shared" si="0"/>
        <v>569112.24</v>
      </c>
      <c r="H39" s="28"/>
    </row>
    <row r="40" spans="1:8" hidden="1" x14ac:dyDescent="0.2">
      <c r="B40" s="30"/>
      <c r="C40" s="31"/>
      <c r="D40" s="28"/>
      <c r="E40" s="27"/>
      <c r="F40" s="28"/>
      <c r="G40" s="27">
        <f t="shared" si="0"/>
        <v>0</v>
      </c>
      <c r="H40" s="28"/>
    </row>
    <row r="41" spans="1:8" hidden="1" x14ac:dyDescent="0.2">
      <c r="A41" s="3">
        <v>35101</v>
      </c>
      <c r="B41" s="35" t="s">
        <v>25</v>
      </c>
      <c r="C41" s="36"/>
      <c r="D41" s="28"/>
      <c r="E41" s="27"/>
      <c r="F41" s="28"/>
      <c r="G41" s="27">
        <f t="shared" si="0"/>
        <v>0</v>
      </c>
      <c r="H41" s="28"/>
    </row>
    <row r="42" spans="1:8" hidden="1" x14ac:dyDescent="0.2">
      <c r="A42" s="3">
        <v>35101</v>
      </c>
      <c r="B42" s="35" t="s">
        <v>24</v>
      </c>
      <c r="C42" s="36"/>
      <c r="D42" s="28"/>
      <c r="E42" s="27"/>
      <c r="F42" s="28"/>
      <c r="G42" s="27">
        <f t="shared" si="0"/>
        <v>0</v>
      </c>
      <c r="H42" s="28"/>
    </row>
    <row r="43" spans="1:8" hidden="1" x14ac:dyDescent="0.2">
      <c r="A43" s="3">
        <v>35101</v>
      </c>
      <c r="B43" s="35" t="s">
        <v>23</v>
      </c>
      <c r="C43" s="36"/>
      <c r="D43" s="28"/>
      <c r="E43" s="27"/>
      <c r="F43" s="28"/>
      <c r="G43" s="27">
        <f t="shared" si="0"/>
        <v>0</v>
      </c>
      <c r="H43" s="28"/>
    </row>
    <row r="44" spans="1:8" hidden="1" x14ac:dyDescent="0.2">
      <c r="A44" s="3">
        <v>35706</v>
      </c>
      <c r="B44" s="35" t="s">
        <v>22</v>
      </c>
      <c r="C44" s="36"/>
      <c r="D44" s="28"/>
      <c r="E44" s="27"/>
      <c r="F44" s="28"/>
      <c r="G44" s="27">
        <f t="shared" si="0"/>
        <v>0</v>
      </c>
      <c r="H44" s="28"/>
    </row>
    <row r="45" spans="1:8" hidden="1" x14ac:dyDescent="0.2">
      <c r="A45" s="3">
        <v>35704</v>
      </c>
      <c r="B45" s="35" t="s">
        <v>21</v>
      </c>
      <c r="C45" s="36"/>
      <c r="D45" s="28"/>
      <c r="E45" s="27"/>
      <c r="F45" s="28"/>
      <c r="G45" s="27">
        <f t="shared" si="0"/>
        <v>0</v>
      </c>
      <c r="H45" s="28"/>
    </row>
    <row r="46" spans="1:8" hidden="1" x14ac:dyDescent="0.2">
      <c r="A46" s="3">
        <v>35101</v>
      </c>
      <c r="B46" s="35" t="s">
        <v>20</v>
      </c>
      <c r="C46" s="36"/>
      <c r="D46" s="28"/>
      <c r="E46" s="27"/>
      <c r="F46" s="28"/>
      <c r="G46" s="27">
        <f t="shared" si="0"/>
        <v>0</v>
      </c>
      <c r="H46" s="28"/>
    </row>
    <row r="47" spans="1:8" hidden="1" x14ac:dyDescent="0.2">
      <c r="A47" s="3">
        <v>51101</v>
      </c>
      <c r="B47" s="35" t="s">
        <v>19</v>
      </c>
      <c r="C47" s="36"/>
      <c r="D47" s="28"/>
      <c r="E47" s="27"/>
      <c r="F47" s="28"/>
      <c r="G47" s="27">
        <f t="shared" si="0"/>
        <v>0</v>
      </c>
      <c r="H47" s="28"/>
    </row>
    <row r="48" spans="1:8" hidden="1" x14ac:dyDescent="0.2">
      <c r="B48" s="30" t="s">
        <v>18</v>
      </c>
      <c r="C48" s="31">
        <f>SUM(C41:C47)</f>
        <v>0</v>
      </c>
      <c r="D48" s="28"/>
      <c r="E48" s="27"/>
      <c r="F48" s="28"/>
      <c r="G48" s="27">
        <f t="shared" si="0"/>
        <v>0</v>
      </c>
      <c r="H48" s="28"/>
    </row>
    <row r="49" spans="1:9" hidden="1" x14ac:dyDescent="0.2">
      <c r="B49" s="32"/>
      <c r="C49" s="27"/>
      <c r="D49" s="28"/>
      <c r="E49" s="27"/>
      <c r="F49" s="28"/>
      <c r="G49" s="27">
        <f t="shared" si="0"/>
        <v>0</v>
      </c>
      <c r="H49" s="28"/>
    </row>
    <row r="50" spans="1:9" ht="25.5" x14ac:dyDescent="0.2">
      <c r="A50" s="3">
        <v>35101</v>
      </c>
      <c r="B50" s="26" t="s">
        <v>17</v>
      </c>
      <c r="C50" s="13"/>
      <c r="D50" s="28"/>
      <c r="E50" s="13">
        <v>209512.24</v>
      </c>
      <c r="F50" s="28"/>
      <c r="G50" s="27">
        <f t="shared" si="0"/>
        <v>209512.24</v>
      </c>
      <c r="H50" s="28"/>
    </row>
    <row r="51" spans="1:9" ht="25.5" x14ac:dyDescent="0.2">
      <c r="A51" s="3">
        <v>35706</v>
      </c>
      <c r="B51" s="26" t="s">
        <v>16</v>
      </c>
      <c r="C51" s="13"/>
      <c r="D51" s="28"/>
      <c r="E51" s="13">
        <v>174000</v>
      </c>
      <c r="F51" s="28"/>
      <c r="G51" s="27">
        <f t="shared" si="0"/>
        <v>174000</v>
      </c>
      <c r="H51" s="28"/>
    </row>
    <row r="52" spans="1:9" ht="25.5" x14ac:dyDescent="0.2">
      <c r="A52" s="3">
        <v>35704</v>
      </c>
      <c r="B52" s="26" t="s">
        <v>15</v>
      </c>
      <c r="C52" s="13"/>
      <c r="D52" s="28"/>
      <c r="E52" s="13">
        <v>185600</v>
      </c>
      <c r="F52" s="28"/>
      <c r="G52" s="27">
        <f t="shared" si="0"/>
        <v>185600</v>
      </c>
      <c r="H52" s="28"/>
    </row>
    <row r="53" spans="1:9" x14ac:dyDescent="0.2">
      <c r="A53" s="3">
        <v>31301</v>
      </c>
      <c r="B53" s="26" t="s">
        <v>46</v>
      </c>
      <c r="C53" s="13"/>
      <c r="D53" s="28"/>
      <c r="E53" s="13">
        <v>115999.99999999999</v>
      </c>
      <c r="F53" s="28"/>
      <c r="G53" s="27"/>
      <c r="H53" s="28"/>
      <c r="I53" s="28"/>
    </row>
    <row r="54" spans="1:9" x14ac:dyDescent="0.2">
      <c r="A54" s="3">
        <v>31101</v>
      </c>
      <c r="B54" s="26" t="s">
        <v>49</v>
      </c>
      <c r="C54" s="13"/>
      <c r="D54" s="28"/>
      <c r="E54" s="13">
        <v>69600</v>
      </c>
      <c r="F54" s="28"/>
      <c r="G54" s="27"/>
      <c r="H54" s="28"/>
    </row>
    <row r="55" spans="1:9" ht="25.5" x14ac:dyDescent="0.2">
      <c r="A55" s="3">
        <v>35708</v>
      </c>
      <c r="B55" s="26" t="s">
        <v>14</v>
      </c>
      <c r="C55" s="13"/>
      <c r="D55" s="28"/>
      <c r="E55" s="13"/>
      <c r="F55" s="28"/>
      <c r="G55" s="27">
        <f t="shared" si="0"/>
        <v>0</v>
      </c>
      <c r="H55" s="28"/>
    </row>
    <row r="56" spans="1:9" x14ac:dyDescent="0.2">
      <c r="A56" s="3">
        <v>53100</v>
      </c>
      <c r="B56" s="26" t="s">
        <v>61</v>
      </c>
      <c r="C56" s="13"/>
      <c r="D56" s="39"/>
      <c r="E56" s="13">
        <f>49950*1.16</f>
        <v>57941.999999999993</v>
      </c>
      <c r="F56" s="28"/>
      <c r="G56" s="27"/>
      <c r="H56" s="28"/>
    </row>
    <row r="57" spans="1:9" x14ac:dyDescent="0.2">
      <c r="A57" s="3">
        <v>51101</v>
      </c>
      <c r="B57" s="26" t="s">
        <v>13</v>
      </c>
      <c r="C57" s="13">
        <f>(103542+160720)*1.16</f>
        <v>306543.92</v>
      </c>
      <c r="D57" s="39"/>
      <c r="E57" s="13">
        <f>(103542+160720)*1.16</f>
        <v>306543.92</v>
      </c>
      <c r="F57" s="28"/>
      <c r="G57" s="27">
        <f t="shared" si="0"/>
        <v>613087.84</v>
      </c>
      <c r="H57" s="28"/>
    </row>
    <row r="58" spans="1:9" x14ac:dyDescent="0.2">
      <c r="B58" s="30" t="s">
        <v>12</v>
      </c>
      <c r="C58" s="31">
        <f>SUM(C50:C57)</f>
        <v>306543.92</v>
      </c>
      <c r="D58" s="28"/>
      <c r="E58" s="31">
        <f>SUM(E50:E57)</f>
        <v>1119198.1599999999</v>
      </c>
      <c r="F58" s="28"/>
      <c r="G58" s="31">
        <f>C58+E58</f>
        <v>1425742.0799999998</v>
      </c>
      <c r="H58" s="28"/>
    </row>
    <row r="59" spans="1:9" x14ac:dyDescent="0.2">
      <c r="B59" s="32"/>
      <c r="C59" s="27"/>
      <c r="D59" s="28"/>
      <c r="E59" s="27"/>
      <c r="F59" s="28"/>
      <c r="G59" s="27">
        <f t="shared" si="0"/>
        <v>0</v>
      </c>
      <c r="H59" s="28"/>
    </row>
    <row r="60" spans="1:9" hidden="1" x14ac:dyDescent="0.2">
      <c r="A60" s="3">
        <v>32201</v>
      </c>
      <c r="B60" s="26" t="s">
        <v>11</v>
      </c>
      <c r="C60" s="31"/>
      <c r="D60" s="28"/>
      <c r="E60" s="31"/>
      <c r="F60" s="28"/>
      <c r="G60" s="31">
        <f t="shared" si="0"/>
        <v>0</v>
      </c>
      <c r="H60" s="28"/>
    </row>
    <row r="61" spans="1:9" hidden="1" x14ac:dyDescent="0.2">
      <c r="B61" s="32"/>
      <c r="C61" s="27"/>
      <c r="D61" s="28"/>
      <c r="E61" s="27"/>
      <c r="F61" s="28"/>
      <c r="G61" s="27">
        <f t="shared" si="0"/>
        <v>0</v>
      </c>
      <c r="H61" s="28"/>
    </row>
    <row r="62" spans="1:9" x14ac:dyDescent="0.2">
      <c r="A62" s="8">
        <v>11301</v>
      </c>
      <c r="B62" s="28" t="s">
        <v>9</v>
      </c>
      <c r="C62" s="23">
        <v>589346.64166666672</v>
      </c>
      <c r="D62" s="28"/>
      <c r="E62" s="25">
        <v>589346.64166666672</v>
      </c>
      <c r="F62" s="28"/>
      <c r="G62" s="27">
        <f t="shared" si="0"/>
        <v>1178693.2833333334</v>
      </c>
      <c r="H62" s="28"/>
    </row>
    <row r="63" spans="1:9" x14ac:dyDescent="0.2">
      <c r="A63" s="8">
        <v>13202</v>
      </c>
      <c r="B63" s="28" t="s">
        <v>8</v>
      </c>
      <c r="C63" s="23">
        <v>58474.415999999997</v>
      </c>
      <c r="D63" s="28"/>
      <c r="E63" s="25">
        <v>58474.415999999997</v>
      </c>
      <c r="F63" s="28"/>
      <c r="G63" s="27">
        <f t="shared" si="0"/>
        <v>116948.83199999999</v>
      </c>
      <c r="H63" s="28"/>
    </row>
    <row r="64" spans="1:9" x14ac:dyDescent="0.2">
      <c r="A64" s="8">
        <v>13203</v>
      </c>
      <c r="B64" s="28" t="s">
        <v>7</v>
      </c>
      <c r="C64" s="23">
        <v>194914.71999999997</v>
      </c>
      <c r="D64" s="28"/>
      <c r="E64" s="25">
        <v>194914.71999999997</v>
      </c>
      <c r="F64" s="28"/>
      <c r="G64" s="27">
        <f t="shared" si="0"/>
        <v>389829.43999999994</v>
      </c>
      <c r="H64" s="28"/>
    </row>
    <row r="65" spans="1:8" x14ac:dyDescent="0.2">
      <c r="A65" s="8">
        <v>13401</v>
      </c>
      <c r="B65" s="28" t="s">
        <v>6</v>
      </c>
      <c r="C65" s="23">
        <v>556159.26</v>
      </c>
      <c r="D65" s="28"/>
      <c r="E65" s="25">
        <v>556159.26</v>
      </c>
      <c r="F65" s="28"/>
      <c r="G65" s="27">
        <f t="shared" si="0"/>
        <v>1112318.52</v>
      </c>
      <c r="H65" s="28"/>
    </row>
    <row r="66" spans="1:8" x14ac:dyDescent="0.2">
      <c r="A66" s="8">
        <v>14101</v>
      </c>
      <c r="B66" s="28" t="s">
        <v>5</v>
      </c>
      <c r="C66" s="23">
        <v>61128.849386666669</v>
      </c>
      <c r="D66" s="28"/>
      <c r="E66" s="25">
        <v>61128.849386666669</v>
      </c>
      <c r="F66" s="28"/>
      <c r="G66" s="27">
        <f t="shared" si="0"/>
        <v>122257.69877333334</v>
      </c>
      <c r="H66" s="28"/>
    </row>
    <row r="67" spans="1:8" x14ac:dyDescent="0.2">
      <c r="A67" s="8">
        <v>15401</v>
      </c>
      <c r="B67" s="28" t="s">
        <v>4</v>
      </c>
      <c r="C67" s="23">
        <v>22954.728333333333</v>
      </c>
      <c r="D67" s="28"/>
      <c r="E67" s="25">
        <v>22954.728333333333</v>
      </c>
      <c r="F67" s="28"/>
      <c r="G67" s="27">
        <f t="shared" si="0"/>
        <v>45909.456666666665</v>
      </c>
      <c r="H67" s="28"/>
    </row>
    <row r="68" spans="1:8" x14ac:dyDescent="0.2">
      <c r="A68" s="8">
        <v>15402</v>
      </c>
      <c r="B68" s="28" t="s">
        <v>3</v>
      </c>
      <c r="C68" s="23">
        <v>17270.583333333332</v>
      </c>
      <c r="D68" s="28"/>
      <c r="E68" s="25">
        <v>17270.583333333332</v>
      </c>
      <c r="F68" s="28"/>
      <c r="G68" s="27">
        <f t="shared" si="0"/>
        <v>34541.166666666664</v>
      </c>
      <c r="H68" s="28"/>
    </row>
    <row r="69" spans="1:8" x14ac:dyDescent="0.2">
      <c r="A69" s="8">
        <v>17101</v>
      </c>
      <c r="B69" s="28" t="s">
        <v>2</v>
      </c>
      <c r="C69" s="23">
        <v>48000</v>
      </c>
      <c r="D69" s="28"/>
      <c r="E69" s="25">
        <v>48000</v>
      </c>
      <c r="F69" s="28"/>
      <c r="G69" s="27">
        <f t="shared" si="0"/>
        <v>96000</v>
      </c>
      <c r="H69" s="28"/>
    </row>
    <row r="70" spans="1:8" x14ac:dyDescent="0.2">
      <c r="A70" s="8">
        <v>14401</v>
      </c>
      <c r="B70" s="28" t="s">
        <v>113</v>
      </c>
      <c r="C70" s="23">
        <f>5*639.36</f>
        <v>3196.8</v>
      </c>
      <c r="D70" s="28"/>
      <c r="E70" s="25">
        <f>5*639.36</f>
        <v>3196.8</v>
      </c>
      <c r="F70" s="28"/>
      <c r="G70" s="27">
        <f t="shared" si="0"/>
        <v>6393.6</v>
      </c>
      <c r="H70" s="28"/>
    </row>
    <row r="71" spans="1:8" x14ac:dyDescent="0.2">
      <c r="B71" s="30" t="s">
        <v>1</v>
      </c>
      <c r="C71" s="31">
        <f>SUM(C62:C70)</f>
        <v>1551445.99872</v>
      </c>
      <c r="D71" s="28"/>
      <c r="E71" s="31">
        <f>SUM(E62:E70)</f>
        <v>1551445.99872</v>
      </c>
      <c r="F71" s="28"/>
      <c r="G71" s="31">
        <f>C71+E71</f>
        <v>3102891.9974400001</v>
      </c>
      <c r="H71" s="28"/>
    </row>
    <row r="72" spans="1:8" x14ac:dyDescent="0.2">
      <c r="B72" s="32"/>
      <c r="C72" s="27"/>
      <c r="D72" s="28"/>
      <c r="E72" s="28"/>
      <c r="F72" s="28"/>
      <c r="G72" s="27">
        <f t="shared" si="0"/>
        <v>0</v>
      </c>
      <c r="H72" s="28"/>
    </row>
    <row r="73" spans="1:8" x14ac:dyDescent="0.2">
      <c r="B73" s="30" t="s">
        <v>0</v>
      </c>
      <c r="C73" s="31">
        <f>C71+C60+C58+C28+C18</f>
        <v>2821954.7887200001</v>
      </c>
      <c r="D73" s="27"/>
      <c r="E73" s="31">
        <f>E71+E60+E58+E28+E18</f>
        <v>3634609.0287199998</v>
      </c>
      <c r="F73" s="28"/>
      <c r="G73" s="31">
        <f>C73+E73</f>
        <v>6456563.8174399994</v>
      </c>
      <c r="H73" s="28"/>
    </row>
    <row r="74" spans="1:8" x14ac:dyDescent="0.2">
      <c r="B74" s="32"/>
      <c r="C74" s="27"/>
      <c r="D74" s="28"/>
      <c r="E74" s="28"/>
      <c r="F74" s="28"/>
      <c r="G74" s="28"/>
      <c r="H74" s="28"/>
    </row>
    <row r="75" spans="1:8" x14ac:dyDescent="0.2">
      <c r="B75" s="32"/>
      <c r="C75" s="27"/>
      <c r="D75" s="28"/>
      <c r="E75" s="28"/>
      <c r="F75" s="28"/>
      <c r="G75" s="28"/>
      <c r="H75" s="28"/>
    </row>
    <row r="76" spans="1:8" x14ac:dyDescent="0.2">
      <c r="B76" s="32"/>
      <c r="C76" s="27"/>
      <c r="D76" s="28"/>
      <c r="E76" s="38"/>
      <c r="F76" s="28"/>
      <c r="G76" s="28"/>
      <c r="H76" s="28"/>
    </row>
    <row r="77" spans="1:8" x14ac:dyDescent="0.2">
      <c r="B77" s="32"/>
      <c r="C77" s="27"/>
      <c r="D77" s="28"/>
      <c r="E77" s="28"/>
      <c r="F77" s="28"/>
      <c r="G77" s="28"/>
      <c r="H77" s="28"/>
    </row>
    <row r="78" spans="1:8" x14ac:dyDescent="0.2">
      <c r="E78" s="4"/>
    </row>
  </sheetData>
  <mergeCells count="2">
    <mergeCell ref="A2:G2"/>
    <mergeCell ref="A3:G3"/>
  </mergeCells>
  <pageMargins left="0.7" right="0.7" top="0.75" bottom="0.75" header="0.3" footer="0.3"/>
  <pageSetup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80"/>
  <sheetViews>
    <sheetView zoomScale="120" zoomScaleNormal="120" workbookViewId="0">
      <selection activeCell="A3" sqref="A3:G3"/>
    </sheetView>
  </sheetViews>
  <sheetFormatPr baseColWidth="10" defaultColWidth="11.42578125" defaultRowHeight="12.75" x14ac:dyDescent="0.2"/>
  <cols>
    <col min="1" max="1" width="13.7109375" style="3" customWidth="1"/>
    <col min="2" max="2" width="45.7109375" style="2" customWidth="1"/>
    <col min="3" max="3" width="18" style="1" hidden="1" customWidth="1"/>
    <col min="4" max="4" width="11.42578125" hidden="1" customWidth="1"/>
    <col min="5" max="5" width="16.28515625" hidden="1" customWidth="1"/>
    <col min="6" max="6" width="11.42578125" hidden="1" customWidth="1"/>
    <col min="7" max="7" width="15.28515625" customWidth="1"/>
  </cols>
  <sheetData>
    <row r="1" spans="1:7" x14ac:dyDescent="0.2">
      <c r="F1" s="19">
        <v>2</v>
      </c>
    </row>
    <row r="2" spans="1:7" x14ac:dyDescent="0.2">
      <c r="A2" s="98" t="s">
        <v>53</v>
      </c>
      <c r="B2" s="98"/>
      <c r="C2" s="98"/>
      <c r="D2" s="98"/>
      <c r="E2" s="98"/>
      <c r="F2" s="98"/>
      <c r="G2" s="98"/>
    </row>
    <row r="3" spans="1:7" x14ac:dyDescent="0.2">
      <c r="A3" s="98" t="s">
        <v>55</v>
      </c>
      <c r="B3" s="98"/>
      <c r="C3" s="98"/>
      <c r="D3" s="98"/>
      <c r="E3" s="98"/>
      <c r="F3" s="98"/>
      <c r="G3" s="98"/>
    </row>
    <row r="4" spans="1:7" x14ac:dyDescent="0.2">
      <c r="A4" s="98" t="s">
        <v>90</v>
      </c>
      <c r="B4" s="98"/>
      <c r="C4" s="98"/>
      <c r="D4" s="98"/>
      <c r="E4" s="98"/>
      <c r="F4" s="98"/>
      <c r="G4" s="98"/>
    </row>
    <row r="5" spans="1:7" x14ac:dyDescent="0.2">
      <c r="A5" s="18"/>
      <c r="B5" s="18"/>
      <c r="C5" s="18"/>
      <c r="D5" s="18"/>
      <c r="E5" s="18"/>
    </row>
    <row r="6" spans="1:7" x14ac:dyDescent="0.2">
      <c r="C6" s="21" t="s">
        <v>54</v>
      </c>
      <c r="D6" s="22"/>
      <c r="E6" s="22" t="s">
        <v>57</v>
      </c>
      <c r="G6" s="22" t="s">
        <v>58</v>
      </c>
    </row>
    <row r="7" spans="1:7" x14ac:dyDescent="0.2">
      <c r="A7" s="3">
        <v>21101</v>
      </c>
      <c r="B7" s="9" t="s">
        <v>52</v>
      </c>
      <c r="C7" s="1">
        <v>37884.333333333336</v>
      </c>
      <c r="E7" s="1">
        <v>37884.333333333336</v>
      </c>
      <c r="G7" s="1">
        <f>C7+E7</f>
        <v>75768.666666666672</v>
      </c>
    </row>
    <row r="8" spans="1:7" x14ac:dyDescent="0.2">
      <c r="A8" s="3">
        <v>21601</v>
      </c>
      <c r="B8" s="9" t="s">
        <v>51</v>
      </c>
      <c r="C8" s="1">
        <v>4449.666666666667</v>
      </c>
      <c r="E8" s="1">
        <v>4449.666666666667</v>
      </c>
      <c r="G8" s="1">
        <f t="shared" ref="G8:G74" si="0">C8+E8</f>
        <v>8899.3333333333339</v>
      </c>
    </row>
    <row r="9" spans="1:7" x14ac:dyDescent="0.2">
      <c r="A9" s="3">
        <v>21201</v>
      </c>
      <c r="B9" s="9" t="s">
        <v>50</v>
      </c>
      <c r="C9" s="1">
        <v>1499.5</v>
      </c>
      <c r="E9" s="1">
        <v>1499.5</v>
      </c>
      <c r="G9" s="1">
        <f t="shared" si="0"/>
        <v>2999</v>
      </c>
    </row>
    <row r="10" spans="1:7" x14ac:dyDescent="0.2">
      <c r="A10" s="3">
        <v>31101</v>
      </c>
      <c r="B10" s="9" t="s">
        <v>49</v>
      </c>
      <c r="C10" s="1">
        <v>185000</v>
      </c>
      <c r="E10" s="1">
        <v>185000</v>
      </c>
      <c r="G10" s="1">
        <f t="shared" si="0"/>
        <v>370000</v>
      </c>
    </row>
    <row r="11" spans="1:7" x14ac:dyDescent="0.2">
      <c r="A11" s="3">
        <v>31301</v>
      </c>
      <c r="B11" s="9" t="s">
        <v>46</v>
      </c>
      <c r="C11" s="1">
        <v>12000</v>
      </c>
      <c r="E11" s="1">
        <v>12000</v>
      </c>
      <c r="G11" s="1">
        <f t="shared" si="0"/>
        <v>24000</v>
      </c>
    </row>
    <row r="12" spans="1:7" ht="25.5" x14ac:dyDescent="0.2">
      <c r="A12" s="3">
        <v>31701</v>
      </c>
      <c r="B12" s="9" t="s">
        <v>48</v>
      </c>
      <c r="C12" s="1">
        <v>60000</v>
      </c>
      <c r="E12" s="1">
        <v>60000</v>
      </c>
      <c r="G12" s="1">
        <f t="shared" si="0"/>
        <v>120000</v>
      </c>
    </row>
    <row r="13" spans="1:7" x14ac:dyDescent="0.2">
      <c r="A13" s="3">
        <v>31401</v>
      </c>
      <c r="B13" s="9" t="s">
        <v>47</v>
      </c>
      <c r="C13" s="1">
        <v>18000</v>
      </c>
      <c r="E13" s="1">
        <v>18000</v>
      </c>
      <c r="G13" s="1">
        <f t="shared" si="0"/>
        <v>36000</v>
      </c>
    </row>
    <row r="14" spans="1:7" x14ac:dyDescent="0.2">
      <c r="A14" s="3">
        <v>22105</v>
      </c>
      <c r="B14" s="9" t="s">
        <v>46</v>
      </c>
      <c r="C14" s="1">
        <v>2508</v>
      </c>
      <c r="E14" s="1">
        <v>2508</v>
      </c>
      <c r="G14" s="1">
        <f t="shared" si="0"/>
        <v>5016</v>
      </c>
    </row>
    <row r="15" spans="1:7" ht="38.25" x14ac:dyDescent="0.2">
      <c r="A15" s="3">
        <v>32301</v>
      </c>
      <c r="B15" s="9" t="s">
        <v>45</v>
      </c>
      <c r="C15" s="17">
        <v>20933</v>
      </c>
      <c r="E15" s="1">
        <v>20933</v>
      </c>
      <c r="G15" s="1">
        <f t="shared" si="0"/>
        <v>41866</v>
      </c>
    </row>
    <row r="16" spans="1:7" x14ac:dyDescent="0.2">
      <c r="A16" s="3">
        <v>33801</v>
      </c>
      <c r="B16" s="9" t="s">
        <v>44</v>
      </c>
      <c r="C16" s="1">
        <v>511000</v>
      </c>
      <c r="E16" s="1">
        <v>511000</v>
      </c>
      <c r="G16" s="1">
        <f t="shared" si="0"/>
        <v>1022000</v>
      </c>
    </row>
    <row r="17" spans="1:7" ht="25.5" x14ac:dyDescent="0.2">
      <c r="A17" s="3">
        <v>21401</v>
      </c>
      <c r="B17" s="9" t="s">
        <v>43</v>
      </c>
      <c r="C17" s="1">
        <v>98000</v>
      </c>
      <c r="E17" s="1">
        <v>98000</v>
      </c>
      <c r="G17" s="1">
        <f t="shared" si="0"/>
        <v>196000</v>
      </c>
    </row>
    <row r="18" spans="1:7" x14ac:dyDescent="0.2">
      <c r="B18" s="6" t="s">
        <v>42</v>
      </c>
      <c r="C18" s="24">
        <f>SUM(C7:C17)</f>
        <v>951274.5</v>
      </c>
      <c r="E18" s="24">
        <f>SUM(E7:E17)</f>
        <v>951274.5</v>
      </c>
      <c r="G18" s="4">
        <f>C18+E18</f>
        <v>1902549</v>
      </c>
    </row>
    <row r="19" spans="1:7" x14ac:dyDescent="0.2">
      <c r="E19" s="1"/>
      <c r="G19" s="1">
        <f t="shared" si="0"/>
        <v>0</v>
      </c>
    </row>
    <row r="20" spans="1:7" x14ac:dyDescent="0.2">
      <c r="A20" s="3">
        <v>51501</v>
      </c>
      <c r="B20" s="16" t="s">
        <v>41</v>
      </c>
      <c r="C20" s="1">
        <v>546580</v>
      </c>
      <c r="E20" s="1">
        <v>546580</v>
      </c>
      <c r="G20" s="1">
        <f t="shared" si="0"/>
        <v>1093160</v>
      </c>
    </row>
    <row r="21" spans="1:7" x14ac:dyDescent="0.2">
      <c r="A21" s="3">
        <v>51502</v>
      </c>
      <c r="B21" s="16" t="s">
        <v>40</v>
      </c>
      <c r="C21" s="1">
        <v>41760</v>
      </c>
      <c r="E21" s="1">
        <v>41760</v>
      </c>
      <c r="G21" s="1">
        <f t="shared" si="0"/>
        <v>83520</v>
      </c>
    </row>
    <row r="22" spans="1:7" x14ac:dyDescent="0.2">
      <c r="A22" s="3">
        <v>24601</v>
      </c>
      <c r="B22" s="16" t="s">
        <v>39</v>
      </c>
      <c r="C22" s="1">
        <v>5800</v>
      </c>
      <c r="E22" s="1">
        <v>5800</v>
      </c>
      <c r="G22" s="1">
        <f t="shared" si="0"/>
        <v>11600</v>
      </c>
    </row>
    <row r="23" spans="1:7" x14ac:dyDescent="0.2">
      <c r="A23" s="3">
        <v>56601</v>
      </c>
      <c r="B23" s="16" t="s">
        <v>38</v>
      </c>
      <c r="C23" s="1">
        <v>2088</v>
      </c>
      <c r="E23" s="1">
        <v>2088</v>
      </c>
      <c r="G23" s="1">
        <f t="shared" si="0"/>
        <v>4176</v>
      </c>
    </row>
    <row r="24" spans="1:7" x14ac:dyDescent="0.2">
      <c r="A24" s="3">
        <v>56501</v>
      </c>
      <c r="B24" s="16" t="s">
        <v>37</v>
      </c>
      <c r="C24" s="1">
        <v>18560</v>
      </c>
      <c r="E24" s="1">
        <v>18560</v>
      </c>
      <c r="G24" s="1">
        <f t="shared" si="0"/>
        <v>37120</v>
      </c>
    </row>
    <row r="25" spans="1:7" x14ac:dyDescent="0.2">
      <c r="A25" s="3">
        <v>29401</v>
      </c>
      <c r="B25" s="16" t="s">
        <v>36</v>
      </c>
      <c r="C25" s="1">
        <v>66816</v>
      </c>
      <c r="E25" s="1">
        <v>66816</v>
      </c>
      <c r="G25" s="1">
        <f t="shared" si="0"/>
        <v>133632</v>
      </c>
    </row>
    <row r="26" spans="1:7" x14ac:dyDescent="0.2">
      <c r="A26" s="3">
        <v>51503</v>
      </c>
      <c r="B26" s="16" t="s">
        <v>35</v>
      </c>
      <c r="C26" s="1">
        <v>1856</v>
      </c>
      <c r="E26" s="1">
        <v>1856</v>
      </c>
      <c r="G26" s="1">
        <f t="shared" si="0"/>
        <v>3712</v>
      </c>
    </row>
    <row r="27" spans="1:7" x14ac:dyDescent="0.2">
      <c r="A27" s="3">
        <v>56501</v>
      </c>
      <c r="B27" s="16" t="s">
        <v>34</v>
      </c>
      <c r="C27" s="1">
        <v>40000</v>
      </c>
      <c r="E27" s="1">
        <v>40000</v>
      </c>
      <c r="G27" s="1">
        <f t="shared" si="0"/>
        <v>80000</v>
      </c>
    </row>
    <row r="28" spans="1:7" x14ac:dyDescent="0.2">
      <c r="B28" s="6" t="s">
        <v>33</v>
      </c>
      <c r="C28" s="24">
        <f>SUM(C20:C27)</f>
        <v>723460</v>
      </c>
      <c r="E28" s="24">
        <f>SUM(E20:E27)</f>
        <v>723460</v>
      </c>
      <c r="G28" s="4">
        <f>C28+E28</f>
        <v>1446920</v>
      </c>
    </row>
    <row r="29" spans="1:7" x14ac:dyDescent="0.2">
      <c r="E29" s="1"/>
      <c r="G29" s="1">
        <f t="shared" si="0"/>
        <v>0</v>
      </c>
    </row>
    <row r="30" spans="1:7" hidden="1" x14ac:dyDescent="0.2">
      <c r="A30" s="15">
        <v>35101</v>
      </c>
      <c r="B30" s="14" t="s">
        <v>30</v>
      </c>
      <c r="C30" s="13">
        <v>73551.045839999992</v>
      </c>
      <c r="E30" s="1">
        <v>73551.045839999992</v>
      </c>
      <c r="G30" s="1">
        <f t="shared" si="0"/>
        <v>147102.09167999998</v>
      </c>
    </row>
    <row r="31" spans="1:7" hidden="1" x14ac:dyDescent="0.2">
      <c r="A31" s="15">
        <v>35101</v>
      </c>
      <c r="B31" s="14" t="s">
        <v>24</v>
      </c>
      <c r="C31" s="13">
        <v>234877.03199999998</v>
      </c>
      <c r="E31" s="1">
        <v>234877.03199999998</v>
      </c>
      <c r="G31" s="1">
        <f t="shared" si="0"/>
        <v>469754.06399999995</v>
      </c>
    </row>
    <row r="32" spans="1:7" hidden="1" x14ac:dyDescent="0.2">
      <c r="A32" s="15">
        <v>35101</v>
      </c>
      <c r="B32" s="14" t="s">
        <v>29</v>
      </c>
      <c r="C32" s="13">
        <v>454755.22919999994</v>
      </c>
      <c r="E32" s="1">
        <v>454755.22919999994</v>
      </c>
      <c r="G32" s="1">
        <f t="shared" si="0"/>
        <v>909510.45839999989</v>
      </c>
    </row>
    <row r="33" spans="1:7" hidden="1" x14ac:dyDescent="0.2">
      <c r="A33" s="15">
        <v>35101</v>
      </c>
      <c r="B33" s="14" t="s">
        <v>28</v>
      </c>
      <c r="C33" s="13">
        <v>22968</v>
      </c>
      <c r="E33" s="1">
        <v>22968</v>
      </c>
      <c r="G33" s="1">
        <f t="shared" si="0"/>
        <v>45936</v>
      </c>
    </row>
    <row r="34" spans="1:7" hidden="1" x14ac:dyDescent="0.2">
      <c r="A34" s="15">
        <v>35706</v>
      </c>
      <c r="B34" s="14" t="s">
        <v>22</v>
      </c>
      <c r="C34" s="13">
        <v>257822.02919999999</v>
      </c>
      <c r="E34" s="1">
        <v>257822.02919999999</v>
      </c>
      <c r="G34" s="1">
        <f t="shared" si="0"/>
        <v>515644.05839999998</v>
      </c>
    </row>
    <row r="35" spans="1:7" hidden="1" x14ac:dyDescent="0.2">
      <c r="A35" s="15">
        <v>35704</v>
      </c>
      <c r="B35" s="14" t="s">
        <v>21</v>
      </c>
      <c r="C35" s="13">
        <v>84981.599999999991</v>
      </c>
      <c r="E35" s="1">
        <v>84981.599999999991</v>
      </c>
      <c r="G35" s="1">
        <f t="shared" si="0"/>
        <v>169963.19999999998</v>
      </c>
    </row>
    <row r="36" spans="1:7" hidden="1" x14ac:dyDescent="0.2">
      <c r="A36" s="15">
        <v>35708</v>
      </c>
      <c r="B36" s="14" t="s">
        <v>27</v>
      </c>
      <c r="C36" s="13">
        <v>53987.982239999998</v>
      </c>
      <c r="E36" s="1">
        <v>53987.982239999998</v>
      </c>
      <c r="G36" s="1">
        <f t="shared" si="0"/>
        <v>107975.96448</v>
      </c>
    </row>
    <row r="37" spans="1:7" hidden="1" x14ac:dyDescent="0.2">
      <c r="A37" s="3">
        <v>35101</v>
      </c>
      <c r="B37" s="12" t="s">
        <v>20</v>
      </c>
      <c r="C37" s="1">
        <v>354667.01183999999</v>
      </c>
      <c r="E37" s="1">
        <v>354667.01183999999</v>
      </c>
      <c r="G37" s="1">
        <f t="shared" si="0"/>
        <v>709334.02367999998</v>
      </c>
    </row>
    <row r="38" spans="1:7" hidden="1" x14ac:dyDescent="0.2">
      <c r="A38" s="3">
        <v>51101</v>
      </c>
      <c r="B38" s="12" t="s">
        <v>26</v>
      </c>
      <c r="C38" s="1">
        <v>381216.08</v>
      </c>
      <c r="E38" s="1">
        <v>381216.08</v>
      </c>
      <c r="G38" s="1">
        <f t="shared" si="0"/>
        <v>762432.16</v>
      </c>
    </row>
    <row r="39" spans="1:7" hidden="1" x14ac:dyDescent="0.2">
      <c r="B39" s="6" t="s">
        <v>12</v>
      </c>
      <c r="C39" s="4">
        <f>SUM(C30:C38)</f>
        <v>1918826.0103200001</v>
      </c>
      <c r="E39" s="4">
        <f>SUM(E30:E38)</f>
        <v>1918826.0103200001</v>
      </c>
      <c r="G39" s="1">
        <f t="shared" si="0"/>
        <v>3837652.0206400002</v>
      </c>
    </row>
    <row r="40" spans="1:7" hidden="1" x14ac:dyDescent="0.2">
      <c r="B40" s="6"/>
      <c r="C40" s="4"/>
      <c r="E40" s="1"/>
      <c r="G40" s="1">
        <f t="shared" si="0"/>
        <v>0</v>
      </c>
    </row>
    <row r="41" spans="1:7" hidden="1" x14ac:dyDescent="0.2">
      <c r="A41" s="3">
        <v>35101</v>
      </c>
      <c r="B41" s="11" t="s">
        <v>25</v>
      </c>
      <c r="C41" s="10"/>
      <c r="E41" s="1"/>
      <c r="G41" s="1">
        <f t="shared" si="0"/>
        <v>0</v>
      </c>
    </row>
    <row r="42" spans="1:7" hidden="1" x14ac:dyDescent="0.2">
      <c r="A42" s="3">
        <v>35101</v>
      </c>
      <c r="B42" s="11" t="s">
        <v>24</v>
      </c>
      <c r="C42" s="10"/>
      <c r="E42" s="1"/>
      <c r="G42" s="1">
        <f t="shared" si="0"/>
        <v>0</v>
      </c>
    </row>
    <row r="43" spans="1:7" hidden="1" x14ac:dyDescent="0.2">
      <c r="A43" s="3">
        <v>35101</v>
      </c>
      <c r="B43" s="11" t="s">
        <v>23</v>
      </c>
      <c r="C43" s="10"/>
      <c r="E43" s="1"/>
      <c r="G43" s="1">
        <f t="shared" si="0"/>
        <v>0</v>
      </c>
    </row>
    <row r="44" spans="1:7" hidden="1" x14ac:dyDescent="0.2">
      <c r="A44" s="3">
        <v>35706</v>
      </c>
      <c r="B44" s="11" t="s">
        <v>22</v>
      </c>
      <c r="C44" s="10"/>
      <c r="E44" s="1"/>
      <c r="G44" s="1">
        <f t="shared" si="0"/>
        <v>0</v>
      </c>
    </row>
    <row r="45" spans="1:7" hidden="1" x14ac:dyDescent="0.2">
      <c r="A45" s="3">
        <v>35704</v>
      </c>
      <c r="B45" s="11" t="s">
        <v>21</v>
      </c>
      <c r="C45" s="10"/>
      <c r="E45" s="1"/>
      <c r="G45" s="1">
        <f t="shared" si="0"/>
        <v>0</v>
      </c>
    </row>
    <row r="46" spans="1:7" hidden="1" x14ac:dyDescent="0.2">
      <c r="A46" s="3">
        <v>35101</v>
      </c>
      <c r="B46" s="11" t="s">
        <v>20</v>
      </c>
      <c r="C46" s="10"/>
      <c r="E46" s="1"/>
      <c r="G46" s="1">
        <f t="shared" si="0"/>
        <v>0</v>
      </c>
    </row>
    <row r="47" spans="1:7" hidden="1" x14ac:dyDescent="0.2">
      <c r="A47" s="3">
        <v>51101</v>
      </c>
      <c r="B47" s="11" t="s">
        <v>19</v>
      </c>
      <c r="C47" s="10"/>
      <c r="E47" s="1"/>
      <c r="G47" s="1">
        <f t="shared" si="0"/>
        <v>0</v>
      </c>
    </row>
    <row r="48" spans="1:7" hidden="1" x14ac:dyDescent="0.2">
      <c r="B48" s="6" t="s">
        <v>18</v>
      </c>
      <c r="C48" s="4">
        <f>SUM(C41:C47)</f>
        <v>0</v>
      </c>
      <c r="E48" s="1"/>
      <c r="G48" s="1">
        <f t="shared" si="0"/>
        <v>0</v>
      </c>
    </row>
    <row r="49" spans="1:7" hidden="1" x14ac:dyDescent="0.2">
      <c r="E49" s="1"/>
      <c r="G49" s="1">
        <f t="shared" si="0"/>
        <v>0</v>
      </c>
    </row>
    <row r="50" spans="1:7" ht="25.5" x14ac:dyDescent="0.2">
      <c r="A50" s="3">
        <v>35101</v>
      </c>
      <c r="B50" s="9" t="s">
        <v>17</v>
      </c>
      <c r="C50" s="13">
        <f>C30+C31+C32+C33+C37+C41+C42+C43+C46</f>
        <v>1140818.3188799999</v>
      </c>
      <c r="E50" s="13">
        <f>E30+E31+E32+E33+E37+E41+E42+E43+E46</f>
        <v>1140818.3188799999</v>
      </c>
      <c r="G50" s="1">
        <f t="shared" si="0"/>
        <v>2281636.6377599998</v>
      </c>
    </row>
    <row r="51" spans="1:7" ht="25.5" x14ac:dyDescent="0.2">
      <c r="A51" s="3">
        <v>35706</v>
      </c>
      <c r="B51" s="9" t="s">
        <v>16</v>
      </c>
      <c r="C51" s="1">
        <f>C34+C44</f>
        <v>257822.02919999999</v>
      </c>
      <c r="E51" s="1">
        <f>E34+E44</f>
        <v>257822.02919999999</v>
      </c>
      <c r="G51" s="1">
        <f t="shared" si="0"/>
        <v>515644.05839999998</v>
      </c>
    </row>
    <row r="52" spans="1:7" ht="25.5" x14ac:dyDescent="0.2">
      <c r="A52" s="3">
        <v>35704</v>
      </c>
      <c r="B52" s="9" t="s">
        <v>15</v>
      </c>
      <c r="C52" s="1">
        <f>C35+C45</f>
        <v>84981.599999999991</v>
      </c>
      <c r="E52" s="1">
        <f>E35+E45</f>
        <v>84981.599999999991</v>
      </c>
      <c r="G52" s="1">
        <f t="shared" si="0"/>
        <v>169963.19999999998</v>
      </c>
    </row>
    <row r="53" spans="1:7" ht="25.5" x14ac:dyDescent="0.2">
      <c r="A53" s="3">
        <v>35708</v>
      </c>
      <c r="B53" s="9" t="s">
        <v>14</v>
      </c>
      <c r="C53" s="1">
        <v>53987.98</v>
      </c>
      <c r="E53" s="1">
        <v>53987.98</v>
      </c>
      <c r="G53" s="1">
        <f t="shared" si="0"/>
        <v>107975.96</v>
      </c>
    </row>
    <row r="54" spans="1:7" x14ac:dyDescent="0.2">
      <c r="A54" s="3">
        <v>51101</v>
      </c>
      <c r="B54" s="9" t="s">
        <v>13</v>
      </c>
      <c r="C54" s="1">
        <f>C38+C47</f>
        <v>381216.08</v>
      </c>
      <c r="E54" s="13">
        <f>E38+E47</f>
        <v>381216.08</v>
      </c>
      <c r="G54" s="1">
        <f t="shared" si="0"/>
        <v>762432.16</v>
      </c>
    </row>
    <row r="55" spans="1:7" x14ac:dyDescent="0.2">
      <c r="B55" s="6" t="s">
        <v>12</v>
      </c>
      <c r="C55" s="4">
        <f>SUM(C50:C54)</f>
        <v>1918826.0080800001</v>
      </c>
      <c r="E55" s="4">
        <f>SUM(E50:E54)</f>
        <v>1918826.0080800001</v>
      </c>
      <c r="G55" s="4">
        <f>C55+E55</f>
        <v>3837652.0161600001</v>
      </c>
    </row>
    <row r="56" spans="1:7" x14ac:dyDescent="0.2">
      <c r="E56" s="1"/>
      <c r="G56" s="1">
        <f t="shared" si="0"/>
        <v>0</v>
      </c>
    </row>
    <row r="57" spans="1:7" x14ac:dyDescent="0.2">
      <c r="A57" s="3">
        <v>32201</v>
      </c>
      <c r="B57" s="9" t="s">
        <v>11</v>
      </c>
      <c r="C57" s="4">
        <f>70000*12</f>
        <v>840000</v>
      </c>
      <c r="E57" s="4">
        <f>100000*12</f>
        <v>1200000</v>
      </c>
      <c r="G57" s="4">
        <f t="shared" si="0"/>
        <v>2040000</v>
      </c>
    </row>
    <row r="58" spans="1:7" x14ac:dyDescent="0.2">
      <c r="E58" s="1"/>
      <c r="G58" s="1">
        <f t="shared" si="0"/>
        <v>0</v>
      </c>
    </row>
    <row r="59" spans="1:7" x14ac:dyDescent="0.2">
      <c r="A59" s="8">
        <v>11101</v>
      </c>
      <c r="B59" t="s">
        <v>10</v>
      </c>
      <c r="C59" s="23">
        <v>913276.83466666669</v>
      </c>
      <c r="E59" s="25">
        <v>913276.83466666669</v>
      </c>
      <c r="G59" s="1">
        <f t="shared" si="0"/>
        <v>1826553.6693333334</v>
      </c>
    </row>
    <row r="60" spans="1:7" x14ac:dyDescent="0.2">
      <c r="A60" s="8">
        <v>11301</v>
      </c>
      <c r="B60" t="s">
        <v>9</v>
      </c>
      <c r="C60" s="23">
        <v>788816.1</v>
      </c>
      <c r="E60" s="25">
        <v>2380058.9066666667</v>
      </c>
      <c r="G60" s="1">
        <f t="shared" si="0"/>
        <v>3168875.0066666668</v>
      </c>
    </row>
    <row r="61" spans="1:7" x14ac:dyDescent="0.2">
      <c r="A61" s="8">
        <v>13202</v>
      </c>
      <c r="B61" t="s">
        <v>8</v>
      </c>
      <c r="C61" s="23">
        <v>92639.592000000004</v>
      </c>
      <c r="E61" s="25">
        <v>195135.66599999997</v>
      </c>
      <c r="G61" s="1">
        <f t="shared" si="0"/>
        <v>287775.25799999997</v>
      </c>
    </row>
    <row r="62" spans="1:7" x14ac:dyDescent="0.2">
      <c r="A62" s="8">
        <v>13203</v>
      </c>
      <c r="B62" t="s">
        <v>7</v>
      </c>
      <c r="C62" s="23">
        <v>308798.64</v>
      </c>
      <c r="E62" s="25">
        <v>650452.22000000009</v>
      </c>
      <c r="G62" s="1">
        <f t="shared" si="0"/>
        <v>959250.8600000001</v>
      </c>
    </row>
    <row r="63" spans="1:7" x14ac:dyDescent="0.2">
      <c r="A63" s="8">
        <v>13401</v>
      </c>
      <c r="B63" t="s">
        <v>6</v>
      </c>
      <c r="C63" s="23">
        <v>1051944.2349999999</v>
      </c>
      <c r="E63" s="25">
        <v>1409806.0516666663</v>
      </c>
      <c r="G63" s="1">
        <f t="shared" si="0"/>
        <v>2461750.2866666662</v>
      </c>
    </row>
    <row r="64" spans="1:7" x14ac:dyDescent="0.2">
      <c r="A64" s="8">
        <v>14101</v>
      </c>
      <c r="B64" t="s">
        <v>5</v>
      </c>
      <c r="C64" s="23">
        <v>80257.601200000005</v>
      </c>
      <c r="E64" s="25">
        <v>247314.07071999993</v>
      </c>
      <c r="G64" s="1">
        <f t="shared" si="0"/>
        <v>327571.67191999994</v>
      </c>
    </row>
    <row r="65" spans="1:7" x14ac:dyDescent="0.2">
      <c r="A65" s="8">
        <v>15401</v>
      </c>
      <c r="B65" t="s">
        <v>4</v>
      </c>
      <c r="C65" s="23">
        <v>20494.141666666663</v>
      </c>
      <c r="E65" s="25">
        <v>97970.380000000034</v>
      </c>
      <c r="G65" s="1">
        <f t="shared" si="0"/>
        <v>118464.5216666667</v>
      </c>
    </row>
    <row r="66" spans="1:7" x14ac:dyDescent="0.2">
      <c r="A66" s="8">
        <v>15402</v>
      </c>
      <c r="B66" t="s">
        <v>3</v>
      </c>
      <c r="C66" s="23">
        <v>17270.583333333332</v>
      </c>
      <c r="E66" s="25">
        <v>69082.333333333343</v>
      </c>
      <c r="G66" s="1">
        <f t="shared" si="0"/>
        <v>86352.916666666672</v>
      </c>
    </row>
    <row r="67" spans="1:7" x14ac:dyDescent="0.2">
      <c r="A67" s="8">
        <v>17101</v>
      </c>
      <c r="B67" t="s">
        <v>2</v>
      </c>
      <c r="C67" s="23">
        <v>0</v>
      </c>
      <c r="E67" s="25">
        <v>124800</v>
      </c>
      <c r="G67" s="1">
        <f t="shared" si="0"/>
        <v>124800</v>
      </c>
    </row>
    <row r="68" spans="1:7" x14ac:dyDescent="0.2">
      <c r="A68" s="3">
        <v>17101</v>
      </c>
      <c r="B68" s="2" t="s">
        <v>2</v>
      </c>
      <c r="C68" s="23">
        <v>254528.96</v>
      </c>
      <c r="E68" s="25">
        <v>293687.36</v>
      </c>
      <c r="G68" s="1">
        <f t="shared" si="0"/>
        <v>548216.31999999995</v>
      </c>
    </row>
    <row r="69" spans="1:7" x14ac:dyDescent="0.2">
      <c r="A69" s="76">
        <v>14401</v>
      </c>
      <c r="B69" s="77" t="s">
        <v>113</v>
      </c>
      <c r="C69" s="23">
        <f>5*639.36</f>
        <v>3196.8</v>
      </c>
      <c r="E69" s="25">
        <f>20*639.36</f>
        <v>12787.2</v>
      </c>
      <c r="G69" s="1">
        <f t="shared" si="0"/>
        <v>15984</v>
      </c>
    </row>
    <row r="70" spans="1:7" x14ac:dyDescent="0.2">
      <c r="A70" s="76">
        <v>14410</v>
      </c>
      <c r="B70" s="80" t="s">
        <v>114</v>
      </c>
      <c r="C70" s="23">
        <v>12638.34</v>
      </c>
      <c r="E70" s="25">
        <v>12638.34</v>
      </c>
      <c r="G70" s="1">
        <f t="shared" si="0"/>
        <v>25276.68</v>
      </c>
    </row>
    <row r="71" spans="1:7" ht="25.5" x14ac:dyDescent="0.2">
      <c r="A71" s="76">
        <v>14412</v>
      </c>
      <c r="B71" s="80" t="s">
        <v>115</v>
      </c>
      <c r="C71" s="23">
        <v>30000</v>
      </c>
      <c r="E71" s="25">
        <v>30000</v>
      </c>
      <c r="G71" s="1">
        <f t="shared" si="0"/>
        <v>60000</v>
      </c>
    </row>
    <row r="72" spans="1:7" ht="25.5" x14ac:dyDescent="0.2">
      <c r="A72" s="76">
        <v>15913</v>
      </c>
      <c r="B72" s="80" t="s">
        <v>87</v>
      </c>
      <c r="C72" s="23">
        <v>40000</v>
      </c>
      <c r="E72" s="25">
        <v>40000</v>
      </c>
      <c r="G72" s="1">
        <f t="shared" si="0"/>
        <v>80000</v>
      </c>
    </row>
    <row r="73" spans="1:7" x14ac:dyDescent="0.2">
      <c r="B73" s="6" t="s">
        <v>1</v>
      </c>
      <c r="C73" s="24">
        <f>SUM(C59:C72)</f>
        <v>3613861.827866666</v>
      </c>
      <c r="E73" s="24">
        <f>SUM(E59:E72)</f>
        <v>6477009.363053333</v>
      </c>
      <c r="G73" s="4">
        <f>C73+E73</f>
        <v>10090871.190919999</v>
      </c>
    </row>
    <row r="74" spans="1:7" x14ac:dyDescent="0.2">
      <c r="G74" s="1">
        <f t="shared" si="0"/>
        <v>0</v>
      </c>
    </row>
    <row r="75" spans="1:7" x14ac:dyDescent="0.2">
      <c r="B75" s="6" t="s">
        <v>0</v>
      </c>
      <c r="C75" s="4">
        <f>C73+C57+C55+C28+C18</f>
        <v>8047422.3359466661</v>
      </c>
      <c r="D75" s="1"/>
      <c r="E75" s="4">
        <f>E73+E57+E55+E28+E18</f>
        <v>11270569.871133333</v>
      </c>
      <c r="G75" s="4">
        <f>C75+E75</f>
        <v>19317992.207079999</v>
      </c>
    </row>
    <row r="78" spans="1:7" x14ac:dyDescent="0.2">
      <c r="E78" s="5"/>
    </row>
    <row r="80" spans="1:7" x14ac:dyDescent="0.2">
      <c r="E80" s="4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83"/>
  <sheetViews>
    <sheetView topLeftCell="A12" zoomScaleNormal="100" workbookViewId="0">
      <selection activeCell="K53" sqref="K53"/>
    </sheetView>
  </sheetViews>
  <sheetFormatPr baseColWidth="10" defaultColWidth="11.42578125" defaultRowHeight="12.75" x14ac:dyDescent="0.2"/>
  <cols>
    <col min="1" max="1" width="13.7109375" style="3" customWidth="1"/>
    <col min="2" max="2" width="46.140625" style="2" customWidth="1"/>
    <col min="3" max="3" width="18" style="1" hidden="1" customWidth="1"/>
    <col min="4" max="4" width="11.42578125" hidden="1" customWidth="1"/>
    <col min="5" max="5" width="16.28515625" customWidth="1"/>
  </cols>
  <sheetData>
    <row r="1" spans="1:6" x14ac:dyDescent="0.2">
      <c r="F1" s="19">
        <v>2</v>
      </c>
    </row>
    <row r="2" spans="1:6" x14ac:dyDescent="0.2">
      <c r="A2" s="98" t="s">
        <v>53</v>
      </c>
      <c r="B2" s="98"/>
      <c r="C2" s="98"/>
      <c r="D2" s="98"/>
      <c r="E2" s="98"/>
    </row>
    <row r="3" spans="1:6" x14ac:dyDescent="0.2">
      <c r="A3" s="98" t="s">
        <v>56</v>
      </c>
      <c r="B3" s="98"/>
      <c r="C3" s="98"/>
      <c r="D3" s="98"/>
      <c r="E3" s="98"/>
    </row>
    <row r="4" spans="1:6" x14ac:dyDescent="0.2">
      <c r="A4" s="98" t="s">
        <v>89</v>
      </c>
      <c r="B4" s="98"/>
      <c r="C4" s="98"/>
      <c r="D4" s="98"/>
      <c r="E4" s="98"/>
    </row>
    <row r="5" spans="1:6" x14ac:dyDescent="0.2">
      <c r="A5" s="81"/>
      <c r="B5" s="81"/>
      <c r="C5" s="81"/>
      <c r="D5" s="81"/>
      <c r="E5" s="81"/>
    </row>
    <row r="6" spans="1:6" x14ac:dyDescent="0.2">
      <c r="C6" s="21"/>
      <c r="D6" s="22"/>
      <c r="E6" s="22"/>
    </row>
    <row r="7" spans="1:6" x14ac:dyDescent="0.2">
      <c r="A7" s="3">
        <v>21101</v>
      </c>
      <c r="B7" s="9" t="s">
        <v>52</v>
      </c>
      <c r="C7" s="1">
        <f>(52889+24139+36625)/3</f>
        <v>37884.333333333336</v>
      </c>
      <c r="E7" s="1">
        <f t="shared" ref="E7:E18" si="0">C7*$F$1</f>
        <v>75768.666666666672</v>
      </c>
    </row>
    <row r="8" spans="1:6" x14ac:dyDescent="0.2">
      <c r="A8" s="3">
        <v>21601</v>
      </c>
      <c r="B8" s="9" t="s">
        <v>51</v>
      </c>
      <c r="C8" s="1">
        <f>(6858+2248+4243)/3</f>
        <v>4449.666666666667</v>
      </c>
      <c r="E8" s="1">
        <f t="shared" si="0"/>
        <v>8899.3333333333339</v>
      </c>
    </row>
    <row r="9" spans="1:6" x14ac:dyDescent="0.2">
      <c r="A9" s="3">
        <v>21201</v>
      </c>
      <c r="B9" s="9" t="s">
        <v>50</v>
      </c>
      <c r="C9" s="1">
        <f>(751+2248+1499.5)/3</f>
        <v>1499.5</v>
      </c>
      <c r="E9" s="1">
        <f t="shared" si="0"/>
        <v>2999</v>
      </c>
    </row>
    <row r="10" spans="1:6" x14ac:dyDescent="0.2">
      <c r="A10" s="3">
        <v>31101</v>
      </c>
      <c r="B10" s="9" t="s">
        <v>49</v>
      </c>
      <c r="C10" s="1">
        <v>185000</v>
      </c>
      <c r="E10" s="1">
        <f t="shared" si="0"/>
        <v>370000</v>
      </c>
    </row>
    <row r="11" spans="1:6" x14ac:dyDescent="0.2">
      <c r="A11" s="3">
        <v>31301</v>
      </c>
      <c r="B11" s="9" t="s">
        <v>46</v>
      </c>
      <c r="C11" s="1">
        <v>12000</v>
      </c>
      <c r="E11" s="1">
        <f t="shared" si="0"/>
        <v>24000</v>
      </c>
    </row>
    <row r="12" spans="1:6" ht="25.5" x14ac:dyDescent="0.2">
      <c r="A12" s="3">
        <v>31701</v>
      </c>
      <c r="B12" s="9" t="s">
        <v>48</v>
      </c>
      <c r="C12" s="1">
        <v>60000</v>
      </c>
      <c r="E12" s="1">
        <f t="shared" si="0"/>
        <v>120000</v>
      </c>
    </row>
    <row r="13" spans="1:6" x14ac:dyDescent="0.2">
      <c r="A13" s="3">
        <v>31401</v>
      </c>
      <c r="B13" s="9" t="s">
        <v>47</v>
      </c>
      <c r="C13" s="1">
        <v>18000</v>
      </c>
      <c r="E13" s="1">
        <f t="shared" si="0"/>
        <v>36000</v>
      </c>
    </row>
    <row r="14" spans="1:6" x14ac:dyDescent="0.2">
      <c r="A14" s="3">
        <v>22105</v>
      </c>
      <c r="B14" s="9" t="s">
        <v>46</v>
      </c>
      <c r="C14" s="1">
        <v>2508</v>
      </c>
      <c r="E14" s="1">
        <f t="shared" si="0"/>
        <v>5016</v>
      </c>
    </row>
    <row r="15" spans="1:6" ht="38.25" x14ac:dyDescent="0.2">
      <c r="A15" s="3">
        <v>32301</v>
      </c>
      <c r="B15" s="9" t="s">
        <v>45</v>
      </c>
      <c r="C15" s="17">
        <v>20933</v>
      </c>
      <c r="E15" s="1">
        <f t="shared" si="0"/>
        <v>41866</v>
      </c>
    </row>
    <row r="16" spans="1:6" x14ac:dyDescent="0.2">
      <c r="A16" s="3">
        <v>33801</v>
      </c>
      <c r="B16" s="9" t="s">
        <v>44</v>
      </c>
      <c r="C16" s="1">
        <v>511000</v>
      </c>
      <c r="E16" s="1">
        <f t="shared" si="0"/>
        <v>1022000</v>
      </c>
    </row>
    <row r="17" spans="1:5" ht="25.5" x14ac:dyDescent="0.2">
      <c r="A17" s="3">
        <v>21401</v>
      </c>
      <c r="B17" s="9" t="s">
        <v>43</v>
      </c>
      <c r="C17" s="1">
        <v>98000</v>
      </c>
      <c r="E17" s="1">
        <f t="shared" si="0"/>
        <v>196000</v>
      </c>
    </row>
    <row r="18" spans="1:5" x14ac:dyDescent="0.2">
      <c r="B18" s="6" t="s">
        <v>42</v>
      </c>
      <c r="C18" s="4">
        <f>SUM(C7:C17)</f>
        <v>951274.5</v>
      </c>
      <c r="E18" s="4">
        <f t="shared" si="0"/>
        <v>1902549</v>
      </c>
    </row>
    <row r="19" spans="1:5" x14ac:dyDescent="0.2">
      <c r="E19" s="1"/>
    </row>
    <row r="20" spans="1:5" x14ac:dyDescent="0.2">
      <c r="A20" s="3">
        <v>51501</v>
      </c>
      <c r="B20" s="16" t="s">
        <v>41</v>
      </c>
      <c r="C20" s="1">
        <v>546580</v>
      </c>
      <c r="E20" s="1">
        <f t="shared" ref="E20:E28" si="1">C20*$F$1</f>
        <v>1093160</v>
      </c>
    </row>
    <row r="21" spans="1:5" x14ac:dyDescent="0.2">
      <c r="A21" s="3">
        <v>51502</v>
      </c>
      <c r="B21" s="16" t="s">
        <v>40</v>
      </c>
      <c r="C21" s="1">
        <v>41760</v>
      </c>
      <c r="E21" s="1">
        <f t="shared" si="1"/>
        <v>83520</v>
      </c>
    </row>
    <row r="22" spans="1:5" x14ac:dyDescent="0.2">
      <c r="A22" s="3">
        <v>24601</v>
      </c>
      <c r="B22" s="16" t="s">
        <v>39</v>
      </c>
      <c r="C22" s="1">
        <v>5800</v>
      </c>
      <c r="E22" s="1">
        <f t="shared" si="1"/>
        <v>11600</v>
      </c>
    </row>
    <row r="23" spans="1:5" x14ac:dyDescent="0.2">
      <c r="A23" s="3">
        <v>56601</v>
      </c>
      <c r="B23" s="16" t="s">
        <v>38</v>
      </c>
      <c r="C23" s="1">
        <v>2088</v>
      </c>
      <c r="E23" s="1">
        <f t="shared" si="1"/>
        <v>4176</v>
      </c>
    </row>
    <row r="24" spans="1:5" x14ac:dyDescent="0.2">
      <c r="A24" s="3">
        <v>56501</v>
      </c>
      <c r="B24" s="16" t="s">
        <v>37</v>
      </c>
      <c r="C24" s="1">
        <v>18560</v>
      </c>
      <c r="E24" s="1">
        <f t="shared" si="1"/>
        <v>37120</v>
      </c>
    </row>
    <row r="25" spans="1:5" x14ac:dyDescent="0.2">
      <c r="A25" s="3">
        <v>29401</v>
      </c>
      <c r="B25" s="16" t="s">
        <v>36</v>
      </c>
      <c r="C25" s="1">
        <v>66816</v>
      </c>
      <c r="E25" s="1">
        <f t="shared" si="1"/>
        <v>133632</v>
      </c>
    </row>
    <row r="26" spans="1:5" x14ac:dyDescent="0.2">
      <c r="A26" s="3">
        <v>51503</v>
      </c>
      <c r="B26" s="16" t="s">
        <v>35</v>
      </c>
      <c r="C26" s="1">
        <v>1856</v>
      </c>
      <c r="E26" s="1">
        <f t="shared" si="1"/>
        <v>3712</v>
      </c>
    </row>
    <row r="27" spans="1:5" x14ac:dyDescent="0.2">
      <c r="A27" s="3">
        <v>56501</v>
      </c>
      <c r="B27" s="16" t="s">
        <v>34</v>
      </c>
      <c r="C27" s="1">
        <v>40000</v>
      </c>
      <c r="E27" s="1">
        <f t="shared" si="1"/>
        <v>80000</v>
      </c>
    </row>
    <row r="28" spans="1:5" x14ac:dyDescent="0.2">
      <c r="B28" s="6" t="s">
        <v>33</v>
      </c>
      <c r="C28" s="4">
        <v>723460</v>
      </c>
      <c r="E28" s="4">
        <f t="shared" si="1"/>
        <v>1446920</v>
      </c>
    </row>
    <row r="29" spans="1:5" x14ac:dyDescent="0.2">
      <c r="E29" s="1"/>
    </row>
    <row r="30" spans="1:5" x14ac:dyDescent="0.2">
      <c r="A30" s="3">
        <v>51503</v>
      </c>
      <c r="B30" s="9" t="s">
        <v>32</v>
      </c>
      <c r="C30" s="1">
        <v>1300000</v>
      </c>
      <c r="E30" s="1">
        <f>C30*$F$1</f>
        <v>2600000</v>
      </c>
    </row>
    <row r="31" spans="1:5" x14ac:dyDescent="0.2">
      <c r="B31" s="6" t="s">
        <v>31</v>
      </c>
      <c r="C31" s="4">
        <f>C30</f>
        <v>1300000</v>
      </c>
      <c r="E31" s="4">
        <f>C31*$F$1</f>
        <v>2600000</v>
      </c>
    </row>
    <row r="32" spans="1:5" x14ac:dyDescent="0.2">
      <c r="E32" s="1"/>
    </row>
    <row r="33" spans="1:5" hidden="1" x14ac:dyDescent="0.2">
      <c r="A33" s="15">
        <v>35101</v>
      </c>
      <c r="B33" s="14" t="s">
        <v>30</v>
      </c>
      <c r="C33" s="13">
        <v>73551.045839999992</v>
      </c>
      <c r="E33" s="1"/>
    </row>
    <row r="34" spans="1:5" hidden="1" x14ac:dyDescent="0.2">
      <c r="A34" s="15">
        <v>35101</v>
      </c>
      <c r="B34" s="14" t="s">
        <v>24</v>
      </c>
      <c r="C34" s="13">
        <v>234877.03199999998</v>
      </c>
      <c r="E34" s="1"/>
    </row>
    <row r="35" spans="1:5" hidden="1" x14ac:dyDescent="0.2">
      <c r="A35" s="15">
        <v>35101</v>
      </c>
      <c r="B35" s="14" t="s">
        <v>29</v>
      </c>
      <c r="C35" s="13">
        <v>454755.22919999994</v>
      </c>
      <c r="E35" s="1"/>
    </row>
    <row r="36" spans="1:5" hidden="1" x14ac:dyDescent="0.2">
      <c r="A36" s="15">
        <v>35101</v>
      </c>
      <c r="B36" s="14" t="s">
        <v>28</v>
      </c>
      <c r="C36" s="13">
        <v>22968</v>
      </c>
      <c r="E36" s="1"/>
    </row>
    <row r="37" spans="1:5" hidden="1" x14ac:dyDescent="0.2">
      <c r="A37" s="15">
        <v>35706</v>
      </c>
      <c r="B37" s="14" t="s">
        <v>22</v>
      </c>
      <c r="C37" s="13">
        <v>257822.02919999999</v>
      </c>
      <c r="E37" s="1"/>
    </row>
    <row r="38" spans="1:5" hidden="1" x14ac:dyDescent="0.2">
      <c r="A38" s="15">
        <v>35704</v>
      </c>
      <c r="B38" s="14" t="s">
        <v>21</v>
      </c>
      <c r="C38" s="13">
        <v>84981.599999999991</v>
      </c>
      <c r="E38" s="1"/>
    </row>
    <row r="39" spans="1:5" hidden="1" x14ac:dyDescent="0.2">
      <c r="A39" s="15">
        <v>35708</v>
      </c>
      <c r="B39" s="14" t="s">
        <v>27</v>
      </c>
      <c r="C39" s="13">
        <v>53987.982239999998</v>
      </c>
      <c r="E39" s="1"/>
    </row>
    <row r="40" spans="1:5" hidden="1" x14ac:dyDescent="0.2">
      <c r="A40" s="3">
        <v>35101</v>
      </c>
      <c r="B40" s="12" t="s">
        <v>20</v>
      </c>
      <c r="C40" s="1">
        <v>354667.01183999999</v>
      </c>
      <c r="E40" s="1"/>
    </row>
    <row r="41" spans="1:5" hidden="1" x14ac:dyDescent="0.2">
      <c r="A41" s="3">
        <v>51101</v>
      </c>
      <c r="B41" s="12" t="s">
        <v>26</v>
      </c>
      <c r="C41" s="1">
        <v>204532.85879999999</v>
      </c>
      <c r="E41" s="1"/>
    </row>
    <row r="42" spans="1:5" hidden="1" x14ac:dyDescent="0.2">
      <c r="B42" s="6" t="s">
        <v>12</v>
      </c>
      <c r="C42" s="4">
        <f>SUM(C33:C41)</f>
        <v>1742142.7891200001</v>
      </c>
      <c r="E42" s="1"/>
    </row>
    <row r="43" spans="1:5" hidden="1" x14ac:dyDescent="0.2">
      <c r="B43" s="6"/>
      <c r="C43" s="4"/>
      <c r="E43" s="1"/>
    </row>
    <row r="44" spans="1:5" hidden="1" x14ac:dyDescent="0.2">
      <c r="A44" s="3">
        <v>35101</v>
      </c>
      <c r="B44" s="11" t="s">
        <v>25</v>
      </c>
      <c r="C44" s="10">
        <v>71536.747600000002</v>
      </c>
      <c r="E44" s="1"/>
    </row>
    <row r="45" spans="1:5" hidden="1" x14ac:dyDescent="0.2">
      <c r="A45" s="3">
        <v>35101</v>
      </c>
      <c r="B45" s="11" t="s">
        <v>24</v>
      </c>
      <c r="C45" s="10">
        <v>102384.76679999998</v>
      </c>
      <c r="E45" s="1"/>
    </row>
    <row r="46" spans="1:5" hidden="1" x14ac:dyDescent="0.2">
      <c r="A46" s="3">
        <v>35101</v>
      </c>
      <c r="B46" s="11" t="s">
        <v>23</v>
      </c>
      <c r="C46" s="10">
        <v>98480.079199999993</v>
      </c>
      <c r="E46" s="1"/>
    </row>
    <row r="47" spans="1:5" hidden="1" x14ac:dyDescent="0.2">
      <c r="A47" s="3">
        <v>35706</v>
      </c>
      <c r="B47" s="11" t="s">
        <v>22</v>
      </c>
      <c r="C47" s="10">
        <v>60577.171999999991</v>
      </c>
      <c r="E47" s="1"/>
    </row>
    <row r="48" spans="1:5" hidden="1" x14ac:dyDescent="0.2">
      <c r="A48" s="3">
        <v>35704</v>
      </c>
      <c r="B48" s="11" t="s">
        <v>21</v>
      </c>
      <c r="C48" s="10">
        <v>40350.6</v>
      </c>
      <c r="E48" s="1"/>
    </row>
    <row r="49" spans="1:5" hidden="1" x14ac:dyDescent="0.2">
      <c r="A49" s="3">
        <v>35101</v>
      </c>
      <c r="B49" s="11" t="s">
        <v>20</v>
      </c>
      <c r="C49" s="10">
        <v>205653.5</v>
      </c>
      <c r="E49" s="1"/>
    </row>
    <row r="50" spans="1:5" hidden="1" x14ac:dyDescent="0.2">
      <c r="A50" s="3">
        <v>51101</v>
      </c>
      <c r="B50" s="11" t="s">
        <v>19</v>
      </c>
      <c r="C50" s="10">
        <v>87000</v>
      </c>
      <c r="E50" s="1"/>
    </row>
    <row r="51" spans="1:5" hidden="1" x14ac:dyDescent="0.2">
      <c r="B51" s="6" t="s">
        <v>18</v>
      </c>
      <c r="C51" s="4">
        <f>SUM(C44:C50)</f>
        <v>665982.8655999999</v>
      </c>
      <c r="E51" s="1"/>
    </row>
    <row r="52" spans="1:5" hidden="1" x14ac:dyDescent="0.2">
      <c r="E52" s="1"/>
    </row>
    <row r="53" spans="1:5" ht="25.5" x14ac:dyDescent="0.2">
      <c r="A53" s="3">
        <v>35101</v>
      </c>
      <c r="B53" s="9" t="s">
        <v>17</v>
      </c>
      <c r="C53" s="1">
        <f>C33+C34+C35+C36+C40+C44+C45+C46+C49</f>
        <v>1618873.4124799999</v>
      </c>
      <c r="E53" s="1">
        <f t="shared" ref="E53:E58" si="2">C53*$F$1</f>
        <v>3237746.8249599999</v>
      </c>
    </row>
    <row r="54" spans="1:5" ht="25.5" x14ac:dyDescent="0.2">
      <c r="A54" s="3">
        <v>35706</v>
      </c>
      <c r="B54" s="9" t="s">
        <v>16</v>
      </c>
      <c r="C54" s="1">
        <f>C37+C47</f>
        <v>318399.20120000001</v>
      </c>
      <c r="E54" s="1">
        <f t="shared" si="2"/>
        <v>636798.40240000002</v>
      </c>
    </row>
    <row r="55" spans="1:5" ht="25.5" x14ac:dyDescent="0.2">
      <c r="A55" s="3">
        <v>35704</v>
      </c>
      <c r="B55" s="9" t="s">
        <v>15</v>
      </c>
      <c r="C55" s="1">
        <f>C38+C48</f>
        <v>125332.19999999998</v>
      </c>
      <c r="E55" s="1">
        <f t="shared" si="2"/>
        <v>250664.39999999997</v>
      </c>
    </row>
    <row r="56" spans="1:5" ht="25.5" x14ac:dyDescent="0.2">
      <c r="A56" s="3">
        <v>35708</v>
      </c>
      <c r="B56" s="9" t="s">
        <v>14</v>
      </c>
      <c r="C56" s="1">
        <v>53987.98</v>
      </c>
      <c r="E56" s="1">
        <f t="shared" si="2"/>
        <v>107975.96</v>
      </c>
    </row>
    <row r="57" spans="1:5" x14ac:dyDescent="0.2">
      <c r="A57" s="3">
        <v>51101</v>
      </c>
      <c r="B57" s="9" t="s">
        <v>13</v>
      </c>
      <c r="C57" s="1">
        <f>204532.86+C50</f>
        <v>291532.86</v>
      </c>
      <c r="E57" s="1">
        <f t="shared" si="2"/>
        <v>583065.72</v>
      </c>
    </row>
    <row r="58" spans="1:5" x14ac:dyDescent="0.2">
      <c r="B58" s="6" t="s">
        <v>12</v>
      </c>
      <c r="C58" s="4">
        <f>SUM(C53:C57)</f>
        <v>2408125.65368</v>
      </c>
      <c r="E58" s="4">
        <f t="shared" si="2"/>
        <v>4816251.30736</v>
      </c>
    </row>
    <row r="59" spans="1:5" x14ac:dyDescent="0.2">
      <c r="E59" s="1"/>
    </row>
    <row r="60" spans="1:5" x14ac:dyDescent="0.2">
      <c r="A60" s="3">
        <v>32201</v>
      </c>
      <c r="B60" s="9" t="s">
        <v>11</v>
      </c>
      <c r="C60" s="4">
        <f>1200000+840000</f>
        <v>2040000</v>
      </c>
      <c r="E60" s="4">
        <v>2040000</v>
      </c>
    </row>
    <row r="61" spans="1:5" x14ac:dyDescent="0.2">
      <c r="E61" s="1"/>
    </row>
    <row r="62" spans="1:5" x14ac:dyDescent="0.2">
      <c r="A62" s="8">
        <v>11101</v>
      </c>
      <c r="B62" t="s">
        <v>10</v>
      </c>
      <c r="C62" s="7">
        <v>913276.83466666669</v>
      </c>
      <c r="E62" s="1">
        <f>C62*$F$1</f>
        <v>1826553.6693333334</v>
      </c>
    </row>
    <row r="63" spans="1:5" x14ac:dyDescent="0.2">
      <c r="A63" s="8">
        <v>11301</v>
      </c>
      <c r="B63" t="s">
        <v>9</v>
      </c>
      <c r="C63" s="7">
        <v>2636024.6466666665</v>
      </c>
      <c r="E63" s="1">
        <f t="shared" ref="E63:E75" si="3">C63*$F$1</f>
        <v>5272049.293333333</v>
      </c>
    </row>
    <row r="64" spans="1:5" x14ac:dyDescent="0.2">
      <c r="A64" s="8">
        <v>13202</v>
      </c>
      <c r="B64" t="s">
        <v>8</v>
      </c>
      <c r="C64" s="7">
        <v>217388.24399999995</v>
      </c>
      <c r="E64" s="1">
        <f t="shared" si="3"/>
        <v>434776.4879999999</v>
      </c>
    </row>
    <row r="65" spans="1:6" x14ac:dyDescent="0.2">
      <c r="A65" s="8">
        <v>13203</v>
      </c>
      <c r="B65" t="s">
        <v>7</v>
      </c>
      <c r="C65" s="7">
        <v>724627.4800000001</v>
      </c>
      <c r="E65" s="1">
        <f t="shared" si="3"/>
        <v>1449254.9600000002</v>
      </c>
    </row>
    <row r="66" spans="1:6" x14ac:dyDescent="0.2">
      <c r="A66" s="8">
        <v>13401</v>
      </c>
      <c r="B66" t="s">
        <v>6</v>
      </c>
      <c r="C66" s="7">
        <v>1588736.9599999995</v>
      </c>
      <c r="E66" s="1">
        <f t="shared" si="3"/>
        <v>3177473.919999999</v>
      </c>
    </row>
    <row r="67" spans="1:6" x14ac:dyDescent="0.2">
      <c r="A67" s="8">
        <v>14101</v>
      </c>
      <c r="B67" t="s">
        <v>5</v>
      </c>
      <c r="C67" s="7">
        <v>273753.46842666657</v>
      </c>
      <c r="E67" s="1">
        <f t="shared" si="3"/>
        <v>547506.93685333314</v>
      </c>
    </row>
    <row r="68" spans="1:6" x14ac:dyDescent="0.2">
      <c r="A68" s="8">
        <v>15401</v>
      </c>
      <c r="B68" t="s">
        <v>4</v>
      </c>
      <c r="C68" s="7">
        <v>107398.33000000003</v>
      </c>
      <c r="E68" s="1">
        <f t="shared" si="3"/>
        <v>214796.66000000006</v>
      </c>
    </row>
    <row r="69" spans="1:6" x14ac:dyDescent="0.2">
      <c r="A69" s="8">
        <v>15402</v>
      </c>
      <c r="B69" t="s">
        <v>3</v>
      </c>
      <c r="C69" s="7">
        <v>75990.56666666668</v>
      </c>
      <c r="E69" s="1">
        <f t="shared" si="3"/>
        <v>151981.13333333336</v>
      </c>
    </row>
    <row r="70" spans="1:6" x14ac:dyDescent="0.2">
      <c r="A70" s="8">
        <v>17101</v>
      </c>
      <c r="B70" t="s">
        <v>2</v>
      </c>
      <c r="C70" s="7">
        <v>134400</v>
      </c>
      <c r="E70" s="1">
        <f t="shared" si="3"/>
        <v>268800</v>
      </c>
    </row>
    <row r="71" spans="1:6" x14ac:dyDescent="0.2">
      <c r="A71" s="3">
        <v>17101</v>
      </c>
      <c r="B71" s="2" t="s">
        <v>2</v>
      </c>
      <c r="C71" s="7">
        <v>313266.55999999994</v>
      </c>
      <c r="E71" s="1">
        <f t="shared" si="3"/>
        <v>626533.11999999988</v>
      </c>
    </row>
    <row r="72" spans="1:6" x14ac:dyDescent="0.2">
      <c r="A72" s="76">
        <v>14401</v>
      </c>
      <c r="B72" s="77" t="s">
        <v>113</v>
      </c>
      <c r="C72" s="79">
        <f>22*639.36</f>
        <v>14065.92</v>
      </c>
      <c r="D72" s="77"/>
      <c r="E72" s="1">
        <f t="shared" si="3"/>
        <v>28131.84</v>
      </c>
      <c r="F72" s="77"/>
    </row>
    <row r="73" spans="1:6" x14ac:dyDescent="0.2">
      <c r="A73" s="76">
        <v>14410</v>
      </c>
      <c r="B73" s="80" t="s">
        <v>114</v>
      </c>
      <c r="C73" s="79">
        <v>12638.34</v>
      </c>
      <c r="D73" s="77"/>
      <c r="E73" s="1">
        <f t="shared" si="3"/>
        <v>25276.68</v>
      </c>
      <c r="F73" s="77"/>
    </row>
    <row r="74" spans="1:6" ht="25.5" x14ac:dyDescent="0.2">
      <c r="A74" s="76">
        <v>14412</v>
      </c>
      <c r="B74" s="80" t="s">
        <v>115</v>
      </c>
      <c r="C74" s="78">
        <v>30000</v>
      </c>
      <c r="D74" s="77"/>
      <c r="E74" s="1">
        <f t="shared" si="3"/>
        <v>60000</v>
      </c>
      <c r="F74" s="77"/>
    </row>
    <row r="75" spans="1:6" ht="25.5" x14ac:dyDescent="0.2">
      <c r="A75" s="76">
        <v>15913</v>
      </c>
      <c r="B75" s="80" t="s">
        <v>87</v>
      </c>
      <c r="C75" s="78">
        <v>40000</v>
      </c>
      <c r="D75" s="77"/>
      <c r="E75" s="1">
        <f t="shared" si="3"/>
        <v>80000</v>
      </c>
      <c r="F75" s="77"/>
    </row>
    <row r="76" spans="1:6" x14ac:dyDescent="0.2">
      <c r="B76" s="6" t="s">
        <v>1</v>
      </c>
      <c r="C76" s="4">
        <f>SUM(C62:C75)</f>
        <v>7081567.3504266646</v>
      </c>
      <c r="E76" s="4">
        <f>C76*$F$1</f>
        <v>14163134.700853329</v>
      </c>
    </row>
    <row r="78" spans="1:6" x14ac:dyDescent="0.2">
      <c r="B78" s="6" t="s">
        <v>0</v>
      </c>
      <c r="C78" s="4">
        <f>C76+C60+C58+C31+C28+C18</f>
        <v>14504427.504106665</v>
      </c>
      <c r="D78" s="1"/>
      <c r="E78" s="4">
        <f>E76+E60+E58+E31+E28+E18</f>
        <v>26968855.00821333</v>
      </c>
    </row>
    <row r="81" spans="5:5" x14ac:dyDescent="0.2">
      <c r="E81" s="5"/>
    </row>
    <row r="83" spans="5:5" x14ac:dyDescent="0.2">
      <c r="E83" s="4"/>
    </row>
  </sheetData>
  <mergeCells count="3">
    <mergeCell ref="A2:E2"/>
    <mergeCell ref="A3:E3"/>
    <mergeCell ref="A4:E4"/>
  </mergeCells>
  <pageMargins left="0.7" right="0.7" top="0.75" bottom="0.75" header="0.3" footer="0.3"/>
  <pageSetup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5"/>
  <sheetViews>
    <sheetView workbookViewId="0">
      <selection activeCell="B17" sqref="B17"/>
    </sheetView>
  </sheetViews>
  <sheetFormatPr baseColWidth="10" defaultColWidth="11.42578125" defaultRowHeight="12.75" x14ac:dyDescent="0.2"/>
  <cols>
    <col min="1" max="1" width="8.85546875" bestFit="1" customWidth="1"/>
    <col min="2" max="2" width="45.5703125" bestFit="1" customWidth="1"/>
    <col min="3" max="3" width="14.85546875" bestFit="1" customWidth="1"/>
    <col min="9" max="9" width="12.28515625" bestFit="1" customWidth="1"/>
  </cols>
  <sheetData>
    <row r="1" spans="1:3" ht="15" x14ac:dyDescent="0.25">
      <c r="A1" s="97" t="s">
        <v>106</v>
      </c>
      <c r="B1" s="97"/>
      <c r="C1" s="97"/>
    </row>
    <row r="2" spans="1:3" x14ac:dyDescent="0.2">
      <c r="A2" s="51"/>
      <c r="B2" s="51"/>
      <c r="C2" s="51"/>
    </row>
    <row r="3" spans="1:3" x14ac:dyDescent="0.2">
      <c r="A3" s="54" t="s">
        <v>95</v>
      </c>
      <c r="B3" s="54" t="s">
        <v>96</v>
      </c>
      <c r="C3" s="54" t="s">
        <v>58</v>
      </c>
    </row>
    <row r="4" spans="1:3" x14ac:dyDescent="0.2">
      <c r="A4" s="57">
        <v>51501</v>
      </c>
      <c r="B4" s="58" t="s">
        <v>41</v>
      </c>
      <c r="C4" s="59">
        <v>400712.592</v>
      </c>
    </row>
    <row r="5" spans="1:3" x14ac:dyDescent="0.2">
      <c r="B5" s="53" t="s">
        <v>102</v>
      </c>
      <c r="C5" s="60">
        <f>SUM(C4:C4)</f>
        <v>400712.592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M70"/>
  <sheetViews>
    <sheetView workbookViewId="0">
      <selection activeCell="J64" sqref="J64"/>
    </sheetView>
  </sheetViews>
  <sheetFormatPr baseColWidth="10" defaultColWidth="11.42578125" defaultRowHeight="12.75" x14ac:dyDescent="0.2"/>
  <cols>
    <col min="1" max="1" width="13.7109375" style="3" customWidth="1"/>
    <col min="2" max="2" width="45.7109375" style="2" customWidth="1"/>
    <col min="3" max="3" width="18" style="1" customWidth="1"/>
    <col min="4" max="4" width="11.42578125" customWidth="1"/>
    <col min="6" max="6" width="13.85546875" hidden="1" customWidth="1"/>
    <col min="7" max="7" width="0" hidden="1" customWidth="1"/>
    <col min="13" max="13" width="13.85546875" bestFit="1" customWidth="1"/>
  </cols>
  <sheetData>
    <row r="2" spans="1:13" x14ac:dyDescent="0.2">
      <c r="A2" s="98" t="s">
        <v>53</v>
      </c>
      <c r="B2" s="98"/>
      <c r="C2" s="98"/>
      <c r="D2" s="98"/>
    </row>
    <row r="3" spans="1:13" x14ac:dyDescent="0.2">
      <c r="A3" s="98" t="s">
        <v>93</v>
      </c>
      <c r="B3" s="98"/>
      <c r="C3" s="98"/>
      <c r="D3" s="98"/>
    </row>
    <row r="4" spans="1:13" x14ac:dyDescent="0.2">
      <c r="A4" s="87"/>
      <c r="B4" s="87"/>
      <c r="C4" s="87"/>
      <c r="D4" s="87"/>
    </row>
    <row r="5" spans="1:13" x14ac:dyDescent="0.2">
      <c r="A5" s="87"/>
      <c r="B5" s="87"/>
      <c r="C5" s="87"/>
      <c r="D5" s="87"/>
    </row>
    <row r="6" spans="1:13" x14ac:dyDescent="0.2">
      <c r="C6" s="21" t="s">
        <v>77</v>
      </c>
      <c r="D6" s="22"/>
    </row>
    <row r="7" spans="1:13" x14ac:dyDescent="0.2">
      <c r="A7" s="3">
        <v>21101</v>
      </c>
      <c r="B7" s="9" t="s">
        <v>52</v>
      </c>
      <c r="C7" s="1">
        <v>151537.33333333334</v>
      </c>
      <c r="F7">
        <v>37884.333333333336</v>
      </c>
      <c r="G7">
        <f>(F7*4)</f>
        <v>151537.33333333334</v>
      </c>
    </row>
    <row r="8" spans="1:13" x14ac:dyDescent="0.2">
      <c r="A8" s="3">
        <v>21601</v>
      </c>
      <c r="B8" s="9" t="s">
        <v>51</v>
      </c>
      <c r="C8" s="1">
        <v>17798.666666666668</v>
      </c>
      <c r="F8">
        <v>4449.666666666667</v>
      </c>
      <c r="G8">
        <f t="shared" ref="G8:G13" si="0">(F8*4)</f>
        <v>17798.666666666668</v>
      </c>
    </row>
    <row r="9" spans="1:13" x14ac:dyDescent="0.2">
      <c r="A9" s="3">
        <v>21201</v>
      </c>
      <c r="B9" s="9" t="s">
        <v>50</v>
      </c>
      <c r="C9" s="1">
        <v>5998</v>
      </c>
      <c r="F9">
        <v>1499.5</v>
      </c>
      <c r="G9">
        <f t="shared" si="0"/>
        <v>5998</v>
      </c>
    </row>
    <row r="10" spans="1:13" x14ac:dyDescent="0.2">
      <c r="A10" s="3">
        <v>31401</v>
      </c>
      <c r="B10" s="9" t="s">
        <v>47</v>
      </c>
      <c r="C10" s="1">
        <v>72000</v>
      </c>
      <c r="F10">
        <v>18000</v>
      </c>
      <c r="G10">
        <f t="shared" si="0"/>
        <v>72000</v>
      </c>
    </row>
    <row r="11" spans="1:13" x14ac:dyDescent="0.2">
      <c r="A11" s="3">
        <v>22105</v>
      </c>
      <c r="B11" s="9" t="s">
        <v>46</v>
      </c>
      <c r="C11" s="1">
        <v>10032</v>
      </c>
      <c r="F11">
        <v>2508</v>
      </c>
      <c r="G11">
        <f t="shared" si="0"/>
        <v>10032</v>
      </c>
    </row>
    <row r="12" spans="1:13" ht="38.25" x14ac:dyDescent="0.2">
      <c r="A12" s="3">
        <v>32301</v>
      </c>
      <c r="B12" s="9" t="s">
        <v>45</v>
      </c>
      <c r="C12" s="17">
        <v>83732</v>
      </c>
      <c r="F12">
        <v>20933</v>
      </c>
      <c r="G12">
        <f t="shared" si="0"/>
        <v>83732</v>
      </c>
    </row>
    <row r="13" spans="1:13" ht="25.5" x14ac:dyDescent="0.2">
      <c r="A13" s="3">
        <v>21401</v>
      </c>
      <c r="B13" s="9" t="s">
        <v>43</v>
      </c>
      <c r="C13" s="1">
        <v>392000</v>
      </c>
      <c r="F13">
        <v>98000</v>
      </c>
      <c r="G13">
        <f t="shared" si="0"/>
        <v>392000</v>
      </c>
    </row>
    <row r="14" spans="1:13" x14ac:dyDescent="0.2">
      <c r="B14" s="6" t="s">
        <v>42</v>
      </c>
      <c r="C14" s="94">
        <f>SUM(C7:C13)</f>
        <v>733098</v>
      </c>
    </row>
    <row r="15" spans="1:13" x14ac:dyDescent="0.2">
      <c r="M15" s="93"/>
    </row>
    <row r="16" spans="1:13" x14ac:dyDescent="0.2">
      <c r="A16" s="3">
        <v>51501</v>
      </c>
      <c r="B16" s="16" t="s">
        <v>41</v>
      </c>
      <c r="C16" s="1">
        <v>2104333</v>
      </c>
      <c r="M16" s="93"/>
    </row>
    <row r="17" spans="1:13" x14ac:dyDescent="0.2">
      <c r="A17" s="3">
        <v>51502</v>
      </c>
      <c r="B17" s="16" t="s">
        <v>40</v>
      </c>
      <c r="C17" s="1">
        <v>83520</v>
      </c>
      <c r="M17" s="93"/>
    </row>
    <row r="18" spans="1:13" x14ac:dyDescent="0.2">
      <c r="A18" s="3">
        <v>24601</v>
      </c>
      <c r="B18" s="16" t="s">
        <v>39</v>
      </c>
      <c r="C18" s="1">
        <v>22330</v>
      </c>
    </row>
    <row r="19" spans="1:13" x14ac:dyDescent="0.2">
      <c r="A19" s="3">
        <v>56601</v>
      </c>
      <c r="B19" s="16" t="s">
        <v>38</v>
      </c>
      <c r="C19" s="1">
        <v>2088</v>
      </c>
      <c r="M19" s="45"/>
    </row>
    <row r="20" spans="1:13" x14ac:dyDescent="0.2">
      <c r="A20" s="3">
        <v>56501</v>
      </c>
      <c r="B20" s="16" t="s">
        <v>37</v>
      </c>
      <c r="C20" s="1">
        <v>18560</v>
      </c>
    </row>
    <row r="21" spans="1:13" x14ac:dyDescent="0.2">
      <c r="A21" s="3">
        <v>29401</v>
      </c>
      <c r="B21" s="16" t="s">
        <v>36</v>
      </c>
      <c r="C21" s="1">
        <v>256824</v>
      </c>
    </row>
    <row r="22" spans="1:13" x14ac:dyDescent="0.2">
      <c r="A22" s="3">
        <v>51503</v>
      </c>
      <c r="B22" s="96" t="s">
        <v>35</v>
      </c>
      <c r="C22" s="1">
        <v>5568</v>
      </c>
    </row>
    <row r="23" spans="1:13" x14ac:dyDescent="0.2">
      <c r="A23" s="3">
        <v>56501</v>
      </c>
      <c r="B23" s="16" t="s">
        <v>34</v>
      </c>
      <c r="C23" s="1">
        <v>25000</v>
      </c>
    </row>
    <row r="24" spans="1:13" x14ac:dyDescent="0.2">
      <c r="B24" s="6" t="s">
        <v>33</v>
      </c>
      <c r="C24" s="94">
        <f>SUM(C16:C23)</f>
        <v>2518223</v>
      </c>
    </row>
    <row r="26" spans="1:13" hidden="1" x14ac:dyDescent="0.2">
      <c r="A26" s="15">
        <v>35101</v>
      </c>
      <c r="B26" s="14" t="s">
        <v>30</v>
      </c>
      <c r="C26" s="13">
        <f>($F$26*5%)*3</f>
        <v>225000</v>
      </c>
      <c r="F26" s="45">
        <v>1500000</v>
      </c>
    </row>
    <row r="27" spans="1:13" hidden="1" x14ac:dyDescent="0.2">
      <c r="A27" s="15">
        <v>35101</v>
      </c>
      <c r="B27" s="14" t="s">
        <v>24</v>
      </c>
      <c r="C27" s="13">
        <f>($F$26*25%)*3</f>
        <v>1125000</v>
      </c>
    </row>
    <row r="28" spans="1:13" hidden="1" x14ac:dyDescent="0.2">
      <c r="A28" s="15">
        <v>35101</v>
      </c>
      <c r="B28" s="14" t="s">
        <v>29</v>
      </c>
      <c r="C28" s="13">
        <f>($F$26*36.76%)*3</f>
        <v>1654200</v>
      </c>
    </row>
    <row r="29" spans="1:13" hidden="1" x14ac:dyDescent="0.2">
      <c r="A29" s="15">
        <v>35101</v>
      </c>
      <c r="B29" s="14" t="s">
        <v>28</v>
      </c>
      <c r="C29" s="13">
        <v>0</v>
      </c>
    </row>
    <row r="30" spans="1:13" hidden="1" x14ac:dyDescent="0.2">
      <c r="A30" s="15">
        <v>35706</v>
      </c>
      <c r="B30" s="14" t="s">
        <v>22</v>
      </c>
      <c r="C30" s="13">
        <f>($F$26*12%)*3</f>
        <v>540000</v>
      </c>
    </row>
    <row r="31" spans="1:13" hidden="1" x14ac:dyDescent="0.2">
      <c r="A31" s="15">
        <v>35704</v>
      </c>
      <c r="B31" s="14" t="s">
        <v>21</v>
      </c>
      <c r="C31" s="13">
        <v>0</v>
      </c>
    </row>
    <row r="32" spans="1:13" hidden="1" x14ac:dyDescent="0.2">
      <c r="A32" s="15">
        <v>35708</v>
      </c>
      <c r="B32" s="14" t="s">
        <v>27</v>
      </c>
      <c r="C32" s="13">
        <v>0</v>
      </c>
    </row>
    <row r="33" spans="1:3" hidden="1" x14ac:dyDescent="0.2">
      <c r="A33" s="3">
        <v>35101</v>
      </c>
      <c r="B33" s="12" t="s">
        <v>20</v>
      </c>
      <c r="C33" s="13">
        <f>($F$26*21.24%)*3</f>
        <v>955799.99999999977</v>
      </c>
    </row>
    <row r="34" spans="1:3" hidden="1" x14ac:dyDescent="0.2">
      <c r="A34" s="3">
        <v>51101</v>
      </c>
      <c r="B34" s="12" t="s">
        <v>26</v>
      </c>
      <c r="C34" s="13">
        <v>736153.07</v>
      </c>
    </row>
    <row r="35" spans="1:3" hidden="1" x14ac:dyDescent="0.2">
      <c r="B35" s="6" t="s">
        <v>12</v>
      </c>
      <c r="C35" s="4">
        <f>SUM(C26:C34)</f>
        <v>5236153.07</v>
      </c>
    </row>
    <row r="36" spans="1:3" hidden="1" x14ac:dyDescent="0.2">
      <c r="B36" s="6"/>
      <c r="C36" s="4"/>
    </row>
    <row r="37" spans="1:3" hidden="1" x14ac:dyDescent="0.2">
      <c r="A37" s="3">
        <v>35101</v>
      </c>
      <c r="B37" s="11" t="s">
        <v>25</v>
      </c>
      <c r="C37" s="10"/>
    </row>
    <row r="38" spans="1:3" hidden="1" x14ac:dyDescent="0.2">
      <c r="A38" s="3">
        <v>35101</v>
      </c>
      <c r="B38" s="11" t="s">
        <v>24</v>
      </c>
      <c r="C38" s="10"/>
    </row>
    <row r="39" spans="1:3" hidden="1" x14ac:dyDescent="0.2">
      <c r="A39" s="3">
        <v>35101</v>
      </c>
      <c r="B39" s="11" t="s">
        <v>23</v>
      </c>
      <c r="C39" s="10"/>
    </row>
    <row r="40" spans="1:3" hidden="1" x14ac:dyDescent="0.2">
      <c r="A40" s="3">
        <v>35706</v>
      </c>
      <c r="B40" s="11" t="s">
        <v>22</v>
      </c>
      <c r="C40" s="10"/>
    </row>
    <row r="41" spans="1:3" hidden="1" x14ac:dyDescent="0.2">
      <c r="A41" s="3">
        <v>35704</v>
      </c>
      <c r="B41" s="11" t="s">
        <v>21</v>
      </c>
      <c r="C41" s="10"/>
    </row>
    <row r="42" spans="1:3" hidden="1" x14ac:dyDescent="0.2">
      <c r="A42" s="3">
        <v>35101</v>
      </c>
      <c r="B42" s="11" t="s">
        <v>20</v>
      </c>
      <c r="C42" s="10"/>
    </row>
    <row r="43" spans="1:3" hidden="1" x14ac:dyDescent="0.2">
      <c r="A43" s="3">
        <v>51101</v>
      </c>
      <c r="B43" s="11" t="s">
        <v>19</v>
      </c>
      <c r="C43" s="10"/>
    </row>
    <row r="44" spans="1:3" hidden="1" x14ac:dyDescent="0.2">
      <c r="B44" s="6" t="s">
        <v>18</v>
      </c>
      <c r="C44" s="4">
        <f>SUM(C37:C43)</f>
        <v>0</v>
      </c>
    </row>
    <row r="45" spans="1:3" hidden="1" x14ac:dyDescent="0.2"/>
    <row r="46" spans="1:3" ht="25.5" x14ac:dyDescent="0.2">
      <c r="A46" s="3">
        <v>35101</v>
      </c>
      <c r="B46" s="9" t="s">
        <v>17</v>
      </c>
      <c r="C46" s="27">
        <f>C26+C27+C28+C29+C33+C37+C38+C39+C42</f>
        <v>3960000</v>
      </c>
    </row>
    <row r="47" spans="1:3" ht="25.5" x14ac:dyDescent="0.2">
      <c r="A47" s="3">
        <v>35706</v>
      </c>
      <c r="B47" s="9" t="s">
        <v>16</v>
      </c>
      <c r="C47" s="1">
        <f>C30+C40</f>
        <v>540000</v>
      </c>
    </row>
    <row r="48" spans="1:3" ht="25.5" x14ac:dyDescent="0.2">
      <c r="A48" s="3">
        <v>35704</v>
      </c>
      <c r="B48" s="9" t="s">
        <v>15</v>
      </c>
      <c r="C48" s="1">
        <f>C31+C41</f>
        <v>0</v>
      </c>
    </row>
    <row r="49" spans="1:5" ht="25.5" x14ac:dyDescent="0.2">
      <c r="A49" s="3">
        <v>35708</v>
      </c>
      <c r="B49" s="9" t="s">
        <v>14</v>
      </c>
      <c r="C49" s="1">
        <v>0</v>
      </c>
    </row>
    <row r="50" spans="1:5" x14ac:dyDescent="0.2">
      <c r="A50" s="3">
        <v>51101</v>
      </c>
      <c r="B50" s="9" t="s">
        <v>13</v>
      </c>
      <c r="C50" s="1">
        <v>408648.51</v>
      </c>
    </row>
    <row r="51" spans="1:5" x14ac:dyDescent="0.2">
      <c r="B51" s="6" t="s">
        <v>12</v>
      </c>
      <c r="C51" s="85">
        <f>SUM(C46:C50)</f>
        <v>4908648.51</v>
      </c>
    </row>
    <row r="53" spans="1:5" hidden="1" x14ac:dyDescent="0.2"/>
    <row r="54" spans="1:5" x14ac:dyDescent="0.2">
      <c r="A54" s="8">
        <v>11101</v>
      </c>
      <c r="B54" t="s">
        <v>10</v>
      </c>
      <c r="C54" s="91" t="s">
        <v>138</v>
      </c>
    </row>
    <row r="55" spans="1:5" x14ac:dyDescent="0.2">
      <c r="A55" s="8">
        <v>11301</v>
      </c>
      <c r="B55" t="s">
        <v>9</v>
      </c>
      <c r="C55" s="91" t="s">
        <v>140</v>
      </c>
    </row>
    <row r="56" spans="1:5" x14ac:dyDescent="0.2">
      <c r="A56" s="8">
        <v>13202</v>
      </c>
      <c r="B56" t="s">
        <v>8</v>
      </c>
      <c r="C56" s="91" t="s">
        <v>141</v>
      </c>
    </row>
    <row r="57" spans="1:5" x14ac:dyDescent="0.2">
      <c r="A57" s="8">
        <v>13203</v>
      </c>
      <c r="B57" t="s">
        <v>7</v>
      </c>
      <c r="C57" s="91" t="s">
        <v>142</v>
      </c>
    </row>
    <row r="58" spans="1:5" x14ac:dyDescent="0.2">
      <c r="A58" s="8">
        <v>13401</v>
      </c>
      <c r="B58" t="s">
        <v>6</v>
      </c>
      <c r="C58" s="91" t="s">
        <v>139</v>
      </c>
    </row>
    <row r="59" spans="1:5" x14ac:dyDescent="0.2">
      <c r="A59" s="8">
        <v>14101</v>
      </c>
      <c r="B59" t="s">
        <v>5</v>
      </c>
      <c r="C59" s="91" t="s">
        <v>143</v>
      </c>
    </row>
    <row r="60" spans="1:5" x14ac:dyDescent="0.2">
      <c r="A60" s="8">
        <v>15401</v>
      </c>
      <c r="B60" t="s">
        <v>4</v>
      </c>
      <c r="C60" s="91" t="s">
        <v>144</v>
      </c>
    </row>
    <row r="61" spans="1:5" x14ac:dyDescent="0.2">
      <c r="A61" s="8">
        <v>15402</v>
      </c>
      <c r="B61" t="s">
        <v>3</v>
      </c>
      <c r="C61" s="91" t="s">
        <v>145</v>
      </c>
    </row>
    <row r="62" spans="1:5" x14ac:dyDescent="0.2">
      <c r="A62" s="8">
        <v>17101</v>
      </c>
      <c r="B62" t="s">
        <v>2</v>
      </c>
      <c r="C62" s="91" t="s">
        <v>146</v>
      </c>
    </row>
    <row r="63" spans="1:5" x14ac:dyDescent="0.2">
      <c r="A63" s="76">
        <v>14401</v>
      </c>
      <c r="B63" s="77" t="s">
        <v>113</v>
      </c>
      <c r="C63" s="92" t="s">
        <v>147</v>
      </c>
    </row>
    <row r="64" spans="1:5" x14ac:dyDescent="0.2">
      <c r="B64" s="6" t="s">
        <v>1</v>
      </c>
      <c r="C64" s="95" t="s">
        <v>148</v>
      </c>
      <c r="D64" s="77"/>
      <c r="E64" s="1"/>
    </row>
    <row r="65" spans="1:5" x14ac:dyDescent="0.2">
      <c r="A65" s="76"/>
      <c r="B65" s="80"/>
      <c r="C65" s="79"/>
      <c r="D65" s="77"/>
      <c r="E65" s="1"/>
    </row>
    <row r="66" spans="1:5" x14ac:dyDescent="0.2">
      <c r="A66" s="76"/>
      <c r="B66" s="80"/>
      <c r="C66" s="78"/>
      <c r="D66" s="77"/>
      <c r="E66" s="1"/>
    </row>
    <row r="67" spans="1:5" x14ac:dyDescent="0.2">
      <c r="A67" s="76"/>
      <c r="B67" s="80"/>
      <c r="C67" s="78"/>
      <c r="D67" s="77"/>
      <c r="E67" s="1"/>
    </row>
    <row r="70" spans="1:5" x14ac:dyDescent="0.2">
      <c r="B70" s="6" t="s">
        <v>0</v>
      </c>
      <c r="C70" s="85">
        <v>20116636.93</v>
      </c>
      <c r="D70" s="1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10"/>
  <sheetViews>
    <sheetView zoomScaleNormal="100" workbookViewId="0">
      <selection activeCell="D40" sqref="D40"/>
    </sheetView>
  </sheetViews>
  <sheetFormatPr baseColWidth="10" defaultColWidth="11.42578125" defaultRowHeight="12.75" x14ac:dyDescent="0.2"/>
  <cols>
    <col min="1" max="1" width="8.85546875" style="51" bestFit="1" customWidth="1"/>
    <col min="2" max="2" width="59.5703125" style="51" customWidth="1"/>
    <col min="3" max="3" width="13.85546875" style="51" bestFit="1" customWidth="1"/>
    <col min="4" max="4" width="12.7109375" style="51" bestFit="1" customWidth="1"/>
    <col min="5" max="16384" width="11.42578125" style="51"/>
  </cols>
  <sheetData>
    <row r="2" spans="1:4" ht="15" x14ac:dyDescent="0.25">
      <c r="B2" s="66" t="s">
        <v>53</v>
      </c>
      <c r="C2" s="65"/>
      <c r="D2" s="65"/>
    </row>
    <row r="3" spans="1:4" ht="15" x14ac:dyDescent="0.25">
      <c r="A3" s="97" t="s">
        <v>110</v>
      </c>
      <c r="B3" s="97"/>
      <c r="C3" s="97"/>
    </row>
    <row r="5" spans="1:4" ht="18" customHeight="1" x14ac:dyDescent="0.2">
      <c r="A5" s="54" t="s">
        <v>95</v>
      </c>
      <c r="B5" s="54" t="s">
        <v>96</v>
      </c>
      <c r="C5" s="54" t="s">
        <v>58</v>
      </c>
    </row>
    <row r="6" spans="1:4" x14ac:dyDescent="0.2">
      <c r="A6" s="63">
        <v>24601</v>
      </c>
      <c r="B6" s="88" t="s">
        <v>137</v>
      </c>
      <c r="C6" s="89">
        <v>1399700.25</v>
      </c>
    </row>
    <row r="7" spans="1:4" x14ac:dyDescent="0.2">
      <c r="A7" s="63">
        <v>29401</v>
      </c>
      <c r="B7" s="63" t="s">
        <v>36</v>
      </c>
      <c r="C7" s="89">
        <v>1542022.2719999999</v>
      </c>
    </row>
    <row r="8" spans="1:4" x14ac:dyDescent="0.2">
      <c r="A8" s="64">
        <v>51501</v>
      </c>
      <c r="B8" s="64" t="s">
        <v>41</v>
      </c>
      <c r="C8" s="89">
        <v>25324080.932879999</v>
      </c>
    </row>
    <row r="9" spans="1:4" x14ac:dyDescent="0.2">
      <c r="A9" s="63">
        <v>56501</v>
      </c>
      <c r="B9" s="63" t="s">
        <v>111</v>
      </c>
      <c r="C9" s="89">
        <v>1180750.8672</v>
      </c>
    </row>
    <row r="10" spans="1:4" x14ac:dyDescent="0.2">
      <c r="B10" s="83" t="s">
        <v>0</v>
      </c>
      <c r="C10" s="90">
        <f>SUM(C6:C9)</f>
        <v>29446554.322079998</v>
      </c>
    </row>
  </sheetData>
  <mergeCells count="1"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61"/>
  <sheetViews>
    <sheetView view="pageLayout" topLeftCell="A4" zoomScaleNormal="100" workbookViewId="0">
      <selection activeCell="F22" sqref="F22"/>
    </sheetView>
  </sheetViews>
  <sheetFormatPr baseColWidth="10" defaultColWidth="11.42578125" defaultRowHeight="12.75" x14ac:dyDescent="0.2"/>
  <cols>
    <col min="1" max="1" width="8.85546875" style="8" bestFit="1" customWidth="1"/>
    <col min="2" max="2" width="58.42578125" customWidth="1"/>
    <col min="3" max="3" width="15.85546875" bestFit="1" customWidth="1"/>
  </cols>
  <sheetData>
    <row r="2" spans="1:6" x14ac:dyDescent="0.2">
      <c r="B2" s="68" t="s">
        <v>53</v>
      </c>
      <c r="C2" s="67"/>
    </row>
    <row r="3" spans="1:6" ht="15" x14ac:dyDescent="0.25">
      <c r="A3" s="97" t="s">
        <v>94</v>
      </c>
      <c r="B3" s="97"/>
      <c r="C3" s="97"/>
    </row>
    <row r="4" spans="1:6" x14ac:dyDescent="0.2">
      <c r="A4" s="50"/>
      <c r="B4" s="51"/>
      <c r="C4" s="51"/>
    </row>
    <row r="5" spans="1:6" x14ac:dyDescent="0.2">
      <c r="A5" s="52" t="s">
        <v>95</v>
      </c>
      <c r="B5" s="52" t="s">
        <v>96</v>
      </c>
      <c r="C5" s="52" t="s">
        <v>58</v>
      </c>
    </row>
    <row r="6" spans="1:6" ht="25.5" x14ac:dyDescent="0.2">
      <c r="A6" s="41">
        <v>29401</v>
      </c>
      <c r="B6" s="69" t="s">
        <v>82</v>
      </c>
      <c r="C6" s="70">
        <v>633959.64360000007</v>
      </c>
    </row>
    <row r="7" spans="1:6" x14ac:dyDescent="0.2">
      <c r="A7" s="41">
        <v>31401</v>
      </c>
      <c r="B7" s="69" t="s">
        <v>97</v>
      </c>
      <c r="C7" s="70">
        <v>14365.439999999999</v>
      </c>
    </row>
    <row r="8" spans="1:6" ht="25.5" x14ac:dyDescent="0.2">
      <c r="A8" s="41">
        <v>31701</v>
      </c>
      <c r="B8" s="69" t="s">
        <v>98</v>
      </c>
      <c r="C8" s="70">
        <v>323548.12800000003</v>
      </c>
    </row>
    <row r="9" spans="1:6" x14ac:dyDescent="0.2">
      <c r="A9" s="41">
        <v>32701</v>
      </c>
      <c r="B9" s="69" t="s">
        <v>79</v>
      </c>
      <c r="C9" s="70">
        <v>9281397.6089600008</v>
      </c>
    </row>
    <row r="10" spans="1:6" x14ac:dyDescent="0.2">
      <c r="A10" s="41">
        <v>35101</v>
      </c>
      <c r="B10" s="69" t="s">
        <v>99</v>
      </c>
      <c r="C10" s="70">
        <v>1932120</v>
      </c>
    </row>
    <row r="11" spans="1:6" x14ac:dyDescent="0.2">
      <c r="A11" s="41">
        <v>51501</v>
      </c>
      <c r="B11" s="69" t="s">
        <v>100</v>
      </c>
      <c r="C11" s="70">
        <v>37285588.987599991</v>
      </c>
    </row>
    <row r="12" spans="1:6" x14ac:dyDescent="0.2">
      <c r="A12" s="41">
        <v>51502</v>
      </c>
      <c r="B12" s="69" t="s">
        <v>40</v>
      </c>
      <c r="C12" s="70">
        <v>807149.96640000015</v>
      </c>
    </row>
    <row r="13" spans="1:6" x14ac:dyDescent="0.2">
      <c r="A13" s="41">
        <v>51503</v>
      </c>
      <c r="B13" s="69" t="s">
        <v>35</v>
      </c>
      <c r="C13" s="70">
        <v>7261452.5579999993</v>
      </c>
    </row>
    <row r="14" spans="1:6" x14ac:dyDescent="0.2">
      <c r="A14" s="41">
        <v>51901</v>
      </c>
      <c r="B14" s="69" t="s">
        <v>83</v>
      </c>
      <c r="C14" s="70">
        <v>2306687.7600000002</v>
      </c>
    </row>
    <row r="15" spans="1:6" x14ac:dyDescent="0.2">
      <c r="A15" s="41">
        <v>52101</v>
      </c>
      <c r="B15" s="69" t="s">
        <v>84</v>
      </c>
      <c r="C15" s="70">
        <v>7300771.2215999998</v>
      </c>
      <c r="F15" s="16"/>
    </row>
    <row r="16" spans="1:6" x14ac:dyDescent="0.2">
      <c r="A16" s="41">
        <v>56501</v>
      </c>
      <c r="B16" s="69" t="s">
        <v>63</v>
      </c>
      <c r="C16" s="70">
        <v>4889197.3896000003</v>
      </c>
    </row>
    <row r="17" spans="1:4" x14ac:dyDescent="0.2">
      <c r="A17" s="41">
        <v>56601</v>
      </c>
      <c r="B17" s="69" t="s">
        <v>81</v>
      </c>
      <c r="C17" s="70">
        <v>1430917.5743999998</v>
      </c>
    </row>
    <row r="18" spans="1:4" ht="25.5" x14ac:dyDescent="0.2">
      <c r="A18" s="41">
        <v>35301</v>
      </c>
      <c r="B18" s="69" t="s">
        <v>101</v>
      </c>
      <c r="C18" s="70">
        <v>4781959.3151999991</v>
      </c>
    </row>
    <row r="19" spans="1:4" x14ac:dyDescent="0.2">
      <c r="A19" s="41">
        <v>59101</v>
      </c>
      <c r="B19" s="69" t="s">
        <v>80</v>
      </c>
      <c r="C19" s="70">
        <v>8092044</v>
      </c>
    </row>
    <row r="20" spans="1:4" ht="15" x14ac:dyDescent="0.25">
      <c r="A20" s="71"/>
      <c r="B20" s="72" t="s">
        <v>102</v>
      </c>
      <c r="C20" s="73">
        <f>SUM(C6:C19)</f>
        <v>86341159.593359977</v>
      </c>
    </row>
    <row r="21" spans="1:4" x14ac:dyDescent="0.2">
      <c r="A21" s="3"/>
      <c r="B21" s="54"/>
      <c r="C21" s="54"/>
    </row>
    <row r="23" spans="1:4" x14ac:dyDescent="0.2">
      <c r="A23" s="41">
        <v>35101</v>
      </c>
      <c r="B23" t="s">
        <v>17</v>
      </c>
      <c r="C23" s="45">
        <v>24732931.034482762</v>
      </c>
    </row>
    <row r="24" spans="1:4" x14ac:dyDescent="0.2">
      <c r="A24" s="41">
        <v>35706</v>
      </c>
      <c r="B24" t="s">
        <v>16</v>
      </c>
      <c r="C24" s="45">
        <v>8227241.3793103453</v>
      </c>
    </row>
    <row r="25" spans="1:4" x14ac:dyDescent="0.2">
      <c r="A25" s="41">
        <v>35704</v>
      </c>
      <c r="B25" t="s">
        <v>15</v>
      </c>
      <c r="C25" s="45">
        <v>2560344.8275862071</v>
      </c>
    </row>
    <row r="26" spans="1:4" x14ac:dyDescent="0.2">
      <c r="A26" s="41">
        <v>35708</v>
      </c>
      <c r="B26" t="s">
        <v>14</v>
      </c>
      <c r="C26" s="45">
        <v>1843448.2758620689</v>
      </c>
    </row>
    <row r="27" spans="1:4" x14ac:dyDescent="0.2">
      <c r="A27" s="41">
        <v>51101</v>
      </c>
      <c r="B27" t="s">
        <v>13</v>
      </c>
      <c r="C27" s="45">
        <v>1590000</v>
      </c>
    </row>
    <row r="28" spans="1:4" x14ac:dyDescent="0.2">
      <c r="A28" s="41"/>
      <c r="B28" s="30" t="s">
        <v>12</v>
      </c>
      <c r="C28" s="46">
        <f>SUM(C23:C27)</f>
        <v>38953965.517241381</v>
      </c>
      <c r="D28" s="16"/>
    </row>
    <row r="29" spans="1:4" x14ac:dyDescent="0.2">
      <c r="A29" s="41"/>
      <c r="B29" s="30"/>
      <c r="C29" s="46"/>
      <c r="D29" s="16"/>
    </row>
    <row r="31" spans="1:4" x14ac:dyDescent="0.2">
      <c r="A31" s="8">
        <v>11101</v>
      </c>
      <c r="B31" t="s">
        <v>10</v>
      </c>
      <c r="C31" s="44">
        <v>17352259.858666673</v>
      </c>
    </row>
    <row r="32" spans="1:4" x14ac:dyDescent="0.2">
      <c r="A32" s="8">
        <v>11301</v>
      </c>
      <c r="B32" t="s">
        <v>9</v>
      </c>
      <c r="C32" s="44">
        <v>14115684.176666675</v>
      </c>
    </row>
    <row r="33" spans="1:3" x14ac:dyDescent="0.2">
      <c r="A33" s="8">
        <v>13202</v>
      </c>
      <c r="B33" t="s">
        <v>8</v>
      </c>
      <c r="C33" s="44">
        <v>1461890.7119999998</v>
      </c>
    </row>
    <row r="34" spans="1:3" x14ac:dyDescent="0.2">
      <c r="A34" s="8">
        <v>13203</v>
      </c>
      <c r="B34" t="s">
        <v>7</v>
      </c>
      <c r="C34" s="44">
        <v>4872969.0400000028</v>
      </c>
    </row>
    <row r="35" spans="1:3" x14ac:dyDescent="0.2">
      <c r="A35" s="8">
        <v>13401</v>
      </c>
      <c r="B35" t="s">
        <v>6</v>
      </c>
      <c r="C35" s="44">
        <v>14689459.553333348</v>
      </c>
    </row>
    <row r="36" spans="1:3" x14ac:dyDescent="0.2">
      <c r="A36" s="8">
        <v>14101</v>
      </c>
      <c r="B36" t="s">
        <v>5</v>
      </c>
      <c r="C36" s="44">
        <v>1452035.2246400006</v>
      </c>
    </row>
    <row r="37" spans="1:3" x14ac:dyDescent="0.2">
      <c r="A37" s="8">
        <v>15401</v>
      </c>
      <c r="B37" t="s">
        <v>4</v>
      </c>
      <c r="C37" s="44">
        <v>472614.89666666591</v>
      </c>
    </row>
    <row r="38" spans="1:3" x14ac:dyDescent="0.2">
      <c r="A38" s="8">
        <v>15402</v>
      </c>
      <c r="B38" t="s">
        <v>3</v>
      </c>
      <c r="C38" s="44">
        <v>366136.36666666594</v>
      </c>
    </row>
    <row r="39" spans="1:3" x14ac:dyDescent="0.2">
      <c r="A39" s="8">
        <v>17101</v>
      </c>
      <c r="B39" t="s">
        <v>2</v>
      </c>
      <c r="C39" s="44">
        <v>556800</v>
      </c>
    </row>
    <row r="40" spans="1:3" x14ac:dyDescent="0.2">
      <c r="A40" s="8">
        <v>17102</v>
      </c>
      <c r="B40" t="s">
        <v>2</v>
      </c>
      <c r="C40" s="44">
        <v>2555078.8800000036</v>
      </c>
    </row>
    <row r="41" spans="1:3" x14ac:dyDescent="0.2">
      <c r="B41" s="55" t="s">
        <v>103</v>
      </c>
      <c r="C41" s="48">
        <f>SUM(C31:C40)</f>
        <v>57894928.708640046</v>
      </c>
    </row>
    <row r="43" spans="1:3" x14ac:dyDescent="0.2">
      <c r="A43" s="42">
        <v>21101</v>
      </c>
      <c r="B43" s="28" t="s">
        <v>52</v>
      </c>
      <c r="C43" s="28">
        <v>227306</v>
      </c>
    </row>
    <row r="44" spans="1:3" x14ac:dyDescent="0.2">
      <c r="A44" s="42">
        <v>21601</v>
      </c>
      <c r="B44" s="28" t="s">
        <v>51</v>
      </c>
      <c r="C44" s="28">
        <v>26698</v>
      </c>
    </row>
    <row r="45" spans="1:3" x14ac:dyDescent="0.2">
      <c r="A45" s="42">
        <v>21201</v>
      </c>
      <c r="B45" s="28" t="s">
        <v>50</v>
      </c>
      <c r="C45" s="28">
        <v>8997</v>
      </c>
    </row>
    <row r="46" spans="1:3" x14ac:dyDescent="0.2">
      <c r="A46" s="42">
        <v>31101</v>
      </c>
      <c r="B46" s="28" t="s">
        <v>49</v>
      </c>
      <c r="C46" s="28">
        <v>1805001</v>
      </c>
    </row>
    <row r="47" spans="1:3" x14ac:dyDescent="0.2">
      <c r="A47" s="42">
        <v>31301</v>
      </c>
      <c r="B47" s="28" t="s">
        <v>46</v>
      </c>
      <c r="C47" s="28">
        <v>159375</v>
      </c>
    </row>
    <row r="48" spans="1:3" x14ac:dyDescent="0.2">
      <c r="A48" s="42">
        <v>31701</v>
      </c>
      <c r="B48" s="28" t="s">
        <v>48</v>
      </c>
      <c r="C48" s="28">
        <v>180000</v>
      </c>
    </row>
    <row r="49" spans="1:3" x14ac:dyDescent="0.2">
      <c r="A49" s="42">
        <v>31401</v>
      </c>
      <c r="B49" s="28" t="s">
        <v>47</v>
      </c>
      <c r="C49" s="28">
        <v>108000</v>
      </c>
    </row>
    <row r="50" spans="1:3" x14ac:dyDescent="0.2">
      <c r="A50" s="42">
        <v>22105</v>
      </c>
      <c r="B50" s="28" t="s">
        <v>104</v>
      </c>
      <c r="C50" s="28">
        <v>15048</v>
      </c>
    </row>
    <row r="51" spans="1:3" x14ac:dyDescent="0.2">
      <c r="A51" s="42">
        <v>32301</v>
      </c>
      <c r="B51" s="28" t="s">
        <v>45</v>
      </c>
      <c r="C51" s="28">
        <v>125598</v>
      </c>
    </row>
    <row r="52" spans="1:3" x14ac:dyDescent="0.2">
      <c r="A52" s="42">
        <v>33801</v>
      </c>
      <c r="B52" s="28" t="s">
        <v>44</v>
      </c>
      <c r="C52" s="28">
        <v>1533000</v>
      </c>
    </row>
    <row r="53" spans="1:3" x14ac:dyDescent="0.2">
      <c r="A53" s="42">
        <v>21401</v>
      </c>
      <c r="B53" s="28" t="s">
        <v>43</v>
      </c>
      <c r="C53" s="28">
        <v>588000</v>
      </c>
    </row>
    <row r="54" spans="1:3" x14ac:dyDescent="0.2">
      <c r="A54" s="42">
        <v>32201</v>
      </c>
      <c r="B54" s="28" t="s">
        <v>11</v>
      </c>
      <c r="C54" s="28">
        <v>16136064</v>
      </c>
    </row>
    <row r="55" spans="1:3" s="28" customFormat="1" x14ac:dyDescent="0.2">
      <c r="A55" s="76">
        <v>14401</v>
      </c>
      <c r="B55" s="77" t="s">
        <v>113</v>
      </c>
      <c r="C55" s="37">
        <f>106*639.36</f>
        <v>67772.160000000003</v>
      </c>
    </row>
    <row r="56" spans="1:3" s="28" customFormat="1" x14ac:dyDescent="0.2">
      <c r="A56" s="76">
        <v>14410</v>
      </c>
      <c r="B56" s="80" t="s">
        <v>114</v>
      </c>
      <c r="C56" s="37">
        <f>12638.34*19</f>
        <v>240128.46</v>
      </c>
    </row>
    <row r="57" spans="1:3" s="28" customFormat="1" x14ac:dyDescent="0.2">
      <c r="A57" s="76">
        <v>14412</v>
      </c>
      <c r="B57" s="80" t="s">
        <v>115</v>
      </c>
      <c r="C57" s="37">
        <f>30000*19</f>
        <v>570000</v>
      </c>
    </row>
    <row r="58" spans="1:3" s="28" customFormat="1" x14ac:dyDescent="0.2">
      <c r="A58" s="76">
        <v>15913</v>
      </c>
      <c r="B58" s="80" t="s">
        <v>87</v>
      </c>
      <c r="C58" s="37">
        <f>40000*19</f>
        <v>760000</v>
      </c>
    </row>
    <row r="59" spans="1:3" x14ac:dyDescent="0.2">
      <c r="A59" s="42"/>
      <c r="B59" s="74" t="s">
        <v>42</v>
      </c>
      <c r="C59" s="75">
        <f>SUM(C43:C54)</f>
        <v>20913087</v>
      </c>
    </row>
    <row r="61" spans="1:3" x14ac:dyDescent="0.2">
      <c r="B61" s="56" t="s">
        <v>105</v>
      </c>
      <c r="C61" s="46">
        <f>SUM(C20+C28+C41+C59)</f>
        <v>204103140.8192414</v>
      </c>
    </row>
  </sheetData>
  <mergeCells count="1">
    <mergeCell ref="A3:C3"/>
  </mergeCells>
  <pageMargins left="0.7" right="0.7" top="0.4" bottom="0.41" header="0.3" footer="0.3"/>
  <pageSetup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C27"/>
  <sheetViews>
    <sheetView workbookViewId="0">
      <selection activeCell="E35" sqref="E35"/>
    </sheetView>
  </sheetViews>
  <sheetFormatPr baseColWidth="10" defaultColWidth="11.42578125" defaultRowHeight="12.75" x14ac:dyDescent="0.2"/>
  <cols>
    <col min="1" max="1" width="8.85546875" bestFit="1" customWidth="1"/>
    <col min="2" max="2" width="45.5703125" bestFit="1" customWidth="1"/>
    <col min="3" max="3" width="14.85546875" bestFit="1" customWidth="1"/>
  </cols>
  <sheetData>
    <row r="2" spans="1:3" x14ac:dyDescent="0.2">
      <c r="B2" s="49" t="s">
        <v>112</v>
      </c>
    </row>
    <row r="3" spans="1:3" ht="15" x14ac:dyDescent="0.25">
      <c r="A3" s="97" t="s">
        <v>107</v>
      </c>
      <c r="B3" s="97"/>
      <c r="C3" s="97"/>
    </row>
    <row r="4" spans="1:3" x14ac:dyDescent="0.2">
      <c r="A4" s="51"/>
      <c r="B4" s="51"/>
      <c r="C4" s="51"/>
    </row>
    <row r="5" spans="1:3" x14ac:dyDescent="0.2">
      <c r="A5" s="54" t="s">
        <v>95</v>
      </c>
      <c r="B5" s="54" t="s">
        <v>96</v>
      </c>
      <c r="C5" s="54" t="s">
        <v>58</v>
      </c>
    </row>
    <row r="6" spans="1:3" x14ac:dyDescent="0.2">
      <c r="A6" s="57">
        <v>51501</v>
      </c>
      <c r="B6" s="58" t="s">
        <v>41</v>
      </c>
      <c r="C6" s="61">
        <v>7942406.6061000004</v>
      </c>
    </row>
    <row r="7" spans="1:3" x14ac:dyDescent="0.2">
      <c r="A7" s="57">
        <v>51503</v>
      </c>
      <c r="B7" s="58" t="s">
        <v>108</v>
      </c>
      <c r="C7" s="61">
        <v>3894068.9986</v>
      </c>
    </row>
    <row r="8" spans="1:3" x14ac:dyDescent="0.2">
      <c r="A8" s="57">
        <v>29401</v>
      </c>
      <c r="B8" s="58" t="s">
        <v>36</v>
      </c>
      <c r="C8" s="61">
        <v>1096240.6425600001</v>
      </c>
    </row>
    <row r="9" spans="1:3" x14ac:dyDescent="0.2">
      <c r="A9" s="41">
        <v>56501</v>
      </c>
      <c r="B9" s="33" t="s">
        <v>37</v>
      </c>
      <c r="C9" s="61">
        <v>299030.78879999998</v>
      </c>
    </row>
    <row r="10" spans="1:3" x14ac:dyDescent="0.2">
      <c r="B10" s="53" t="s">
        <v>102</v>
      </c>
      <c r="C10" s="62">
        <f>SUM(C6:C9)</f>
        <v>13231747.03606</v>
      </c>
    </row>
    <row r="12" spans="1:3" x14ac:dyDescent="0.2">
      <c r="A12" s="3">
        <v>51101</v>
      </c>
      <c r="B12" s="9" t="s">
        <v>13</v>
      </c>
      <c r="C12" s="61">
        <v>332038.98000000004</v>
      </c>
    </row>
    <row r="13" spans="1:3" x14ac:dyDescent="0.2">
      <c r="B13" s="53" t="s">
        <v>109</v>
      </c>
      <c r="C13" s="46">
        <f>C12</f>
        <v>332038.98000000004</v>
      </c>
    </row>
    <row r="15" spans="1:3" x14ac:dyDescent="0.2">
      <c r="A15">
        <v>11101</v>
      </c>
      <c r="B15" t="s">
        <v>10</v>
      </c>
      <c r="C15" s="44">
        <v>0</v>
      </c>
    </row>
    <row r="16" spans="1:3" x14ac:dyDescent="0.2">
      <c r="A16">
        <v>11301</v>
      </c>
      <c r="B16" t="s">
        <v>9</v>
      </c>
      <c r="C16" s="44">
        <v>5366601.8133333288</v>
      </c>
    </row>
    <row r="17" spans="1:3" x14ac:dyDescent="0.2">
      <c r="A17">
        <v>13202</v>
      </c>
      <c r="B17" t="s">
        <v>8</v>
      </c>
      <c r="C17" s="44">
        <v>309319.54200000019</v>
      </c>
    </row>
    <row r="18" spans="1:3" x14ac:dyDescent="0.2">
      <c r="A18">
        <v>13203</v>
      </c>
      <c r="B18" t="s">
        <v>7</v>
      </c>
      <c r="C18" s="44">
        <v>1031065.1399999991</v>
      </c>
    </row>
    <row r="19" spans="1:3" x14ac:dyDescent="0.2">
      <c r="A19">
        <v>13401</v>
      </c>
      <c r="B19" t="s">
        <v>6</v>
      </c>
      <c r="C19" s="44">
        <v>9640674.9100000057</v>
      </c>
    </row>
    <row r="20" spans="1:3" x14ac:dyDescent="0.2">
      <c r="A20">
        <v>14101</v>
      </c>
      <c r="B20" t="s">
        <v>5</v>
      </c>
      <c r="C20" s="44">
        <v>567054.6078400003</v>
      </c>
    </row>
    <row r="21" spans="1:3" x14ac:dyDescent="0.2">
      <c r="A21">
        <v>15401</v>
      </c>
      <c r="B21" t="s">
        <v>4</v>
      </c>
      <c r="C21" s="44">
        <v>286542.27666666679</v>
      </c>
    </row>
    <row r="22" spans="1:3" x14ac:dyDescent="0.2">
      <c r="A22">
        <v>15402</v>
      </c>
      <c r="B22" t="s">
        <v>3</v>
      </c>
      <c r="C22" s="44">
        <v>186522.30000000008</v>
      </c>
    </row>
    <row r="23" spans="1:3" x14ac:dyDescent="0.2">
      <c r="A23">
        <v>17101</v>
      </c>
      <c r="B23" t="s">
        <v>2</v>
      </c>
      <c r="C23" s="44">
        <v>518400</v>
      </c>
    </row>
    <row r="24" spans="1:3" s="28" customFormat="1" x14ac:dyDescent="0.2">
      <c r="A24" s="76">
        <v>14401</v>
      </c>
      <c r="B24" s="77" t="s">
        <v>113</v>
      </c>
      <c r="C24" s="37">
        <f>54*639.36</f>
        <v>34525.440000000002</v>
      </c>
    </row>
    <row r="25" spans="1:3" x14ac:dyDescent="0.2">
      <c r="B25" s="55" t="s">
        <v>103</v>
      </c>
      <c r="C25" s="46">
        <f>SUM(C15:C23)</f>
        <v>17906180.589840002</v>
      </c>
    </row>
    <row r="27" spans="1:3" x14ac:dyDescent="0.2">
      <c r="B27" s="56" t="s">
        <v>105</v>
      </c>
      <c r="C27" s="46">
        <f>SUM(C10+C13+C25)</f>
        <v>31469966.605900005</v>
      </c>
    </row>
  </sheetData>
  <mergeCells count="1">
    <mergeCell ref="A3:C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J75"/>
  <sheetViews>
    <sheetView view="pageLayout" topLeftCell="B23" zoomScaleNormal="100" zoomScaleSheetLayoutView="100" workbookViewId="0">
      <selection activeCell="N64" sqref="N64"/>
    </sheetView>
  </sheetViews>
  <sheetFormatPr baseColWidth="10" defaultColWidth="11.42578125" defaultRowHeight="12.75" x14ac:dyDescent="0.2"/>
  <cols>
    <col min="1" max="1" width="13.7109375" style="3" customWidth="1"/>
    <col min="2" max="2" width="45.7109375" style="2" customWidth="1"/>
    <col min="3" max="3" width="18" style="1" customWidth="1"/>
    <col min="4" max="4" width="11.42578125" customWidth="1"/>
    <col min="5" max="5" width="0" hidden="1" customWidth="1"/>
    <col min="6" max="6" width="12.85546875" hidden="1" customWidth="1"/>
    <col min="7" max="7" width="11.42578125" hidden="1" customWidth="1"/>
    <col min="8" max="8" width="13.85546875" style="45" hidden="1" customWidth="1"/>
    <col min="9" max="10" width="14.85546875" style="45" hidden="1" customWidth="1"/>
    <col min="11" max="11" width="0" hidden="1" customWidth="1"/>
  </cols>
  <sheetData>
    <row r="2" spans="1:8" x14ac:dyDescent="0.2">
      <c r="A2" s="98" t="s">
        <v>53</v>
      </c>
      <c r="B2" s="98"/>
      <c r="C2" s="98"/>
      <c r="D2" s="98"/>
    </row>
    <row r="3" spans="1:8" x14ac:dyDescent="0.2">
      <c r="A3" s="98" t="s">
        <v>91</v>
      </c>
      <c r="B3" s="98"/>
      <c r="C3" s="98"/>
      <c r="D3" s="98"/>
    </row>
    <row r="4" spans="1:8" x14ac:dyDescent="0.2">
      <c r="A4" s="20"/>
      <c r="B4" s="20"/>
      <c r="C4" s="20"/>
      <c r="D4" s="20"/>
    </row>
    <row r="5" spans="1:8" x14ac:dyDescent="0.2">
      <c r="A5" s="20"/>
      <c r="B5" s="20"/>
      <c r="C5" s="20"/>
      <c r="D5" s="20"/>
    </row>
    <row r="6" spans="1:8" x14ac:dyDescent="0.2">
      <c r="C6" s="21" t="s">
        <v>73</v>
      </c>
      <c r="D6" s="22"/>
    </row>
    <row r="7" spans="1:8" x14ac:dyDescent="0.2">
      <c r="A7" s="3">
        <v>21101</v>
      </c>
      <c r="B7" s="26" t="s">
        <v>52</v>
      </c>
      <c r="C7" s="27">
        <v>229028.02</v>
      </c>
    </row>
    <row r="8" spans="1:8" x14ac:dyDescent="0.2">
      <c r="A8" s="3">
        <v>21601</v>
      </c>
      <c r="B8" s="26" t="s">
        <v>51</v>
      </c>
      <c r="C8" s="27">
        <v>26900.26</v>
      </c>
    </row>
    <row r="9" spans="1:8" x14ac:dyDescent="0.2">
      <c r="A9" s="3">
        <v>21201</v>
      </c>
      <c r="B9" s="26" t="s">
        <v>50</v>
      </c>
      <c r="C9" s="27">
        <v>9065.16</v>
      </c>
    </row>
    <row r="10" spans="1:8" x14ac:dyDescent="0.2">
      <c r="A10" s="3">
        <v>31101</v>
      </c>
      <c r="B10" s="26" t="s">
        <v>49</v>
      </c>
      <c r="C10" s="27">
        <f>1700000+800000</f>
        <v>2500000</v>
      </c>
    </row>
    <row r="11" spans="1:8" x14ac:dyDescent="0.2">
      <c r="A11" s="3">
        <v>31301</v>
      </c>
      <c r="B11" s="26" t="s">
        <v>74</v>
      </c>
      <c r="C11" s="27">
        <v>150000</v>
      </c>
    </row>
    <row r="12" spans="1:8" ht="25.5" x14ac:dyDescent="0.2">
      <c r="A12" s="3">
        <v>31701</v>
      </c>
      <c r="B12" s="26" t="s">
        <v>48</v>
      </c>
      <c r="C12" s="27">
        <v>362727.27</v>
      </c>
      <c r="H12" s="45">
        <v>79695</v>
      </c>
    </row>
    <row r="13" spans="1:8" x14ac:dyDescent="0.2">
      <c r="A13" s="3">
        <v>31401</v>
      </c>
      <c r="B13" s="26" t="s">
        <v>47</v>
      </c>
      <c r="C13" s="27">
        <v>108818.18</v>
      </c>
      <c r="H13" s="45">
        <v>23437</v>
      </c>
    </row>
    <row r="14" spans="1:8" x14ac:dyDescent="0.2">
      <c r="A14" s="3">
        <v>22105</v>
      </c>
      <c r="B14" s="26" t="s">
        <v>46</v>
      </c>
      <c r="C14" s="27">
        <v>15162</v>
      </c>
      <c r="H14" s="45">
        <v>275565</v>
      </c>
    </row>
    <row r="15" spans="1:8" ht="38.25" x14ac:dyDescent="0.2">
      <c r="A15" s="3">
        <v>32301</v>
      </c>
      <c r="B15" s="26" t="s">
        <v>45</v>
      </c>
      <c r="C15" s="29">
        <v>126549.5</v>
      </c>
      <c r="H15" s="45">
        <f>SUM(H12:H14)</f>
        <v>378697</v>
      </c>
    </row>
    <row r="16" spans="1:8" x14ac:dyDescent="0.2">
      <c r="A16" s="3">
        <v>33801</v>
      </c>
      <c r="B16" s="26" t="s">
        <v>44</v>
      </c>
      <c r="C16" s="27">
        <v>511000</v>
      </c>
    </row>
    <row r="17" spans="1:10" ht="25.5" x14ac:dyDescent="0.2">
      <c r="A17" s="3">
        <v>21401</v>
      </c>
      <c r="B17" s="26" t="s">
        <v>43</v>
      </c>
      <c r="C17" s="27">
        <v>592454.55000000005</v>
      </c>
      <c r="H17" s="45">
        <f>H15*2</f>
        <v>757394</v>
      </c>
    </row>
    <row r="18" spans="1:10" x14ac:dyDescent="0.2">
      <c r="B18" s="30" t="s">
        <v>42</v>
      </c>
      <c r="C18" s="31">
        <f>SUM(C7:C17)</f>
        <v>4631704.9400000004</v>
      </c>
    </row>
    <row r="19" spans="1:10" x14ac:dyDescent="0.2">
      <c r="B19" s="32"/>
      <c r="C19" s="27"/>
      <c r="J19" s="45">
        <f>(1214931.8*1.625)*8</f>
        <v>15794113.4</v>
      </c>
    </row>
    <row r="20" spans="1:10" x14ac:dyDescent="0.2">
      <c r="A20" s="3">
        <v>51501</v>
      </c>
      <c r="B20" s="26" t="s">
        <v>78</v>
      </c>
      <c r="C20" s="27">
        <f>I75</f>
        <v>46042839.469999999</v>
      </c>
    </row>
    <row r="21" spans="1:10" x14ac:dyDescent="0.2">
      <c r="A21" s="3">
        <v>51502</v>
      </c>
      <c r="B21" s="26" t="s">
        <v>40</v>
      </c>
      <c r="C21" s="27">
        <f>H25</f>
        <v>462318.35</v>
      </c>
    </row>
    <row r="22" spans="1:10" ht="25.5" x14ac:dyDescent="0.2">
      <c r="A22" s="3">
        <v>35301</v>
      </c>
      <c r="B22" s="26" t="s">
        <v>86</v>
      </c>
      <c r="C22" s="27">
        <f>J25</f>
        <v>3363576</v>
      </c>
    </row>
    <row r="23" spans="1:10" ht="25.5" x14ac:dyDescent="0.2">
      <c r="A23" s="3">
        <v>56601</v>
      </c>
      <c r="B23" s="26" t="s">
        <v>81</v>
      </c>
      <c r="C23" s="27">
        <f>95472.21+260007.41+39992.4</f>
        <v>395472.02</v>
      </c>
      <c r="H23" s="45">
        <v>175955.08</v>
      </c>
      <c r="I23" s="45">
        <f>(19435+8050+18285)*2</f>
        <v>91540</v>
      </c>
      <c r="J23" s="45">
        <f>((144971+71371)*1.625)*8</f>
        <v>2812446</v>
      </c>
    </row>
    <row r="24" spans="1:10" ht="25.5" x14ac:dyDescent="0.2">
      <c r="A24" s="3">
        <v>29401</v>
      </c>
      <c r="B24" s="26" t="s">
        <v>82</v>
      </c>
      <c r="C24" s="27">
        <f>I32</f>
        <v>33881.760000000002</v>
      </c>
      <c r="H24" s="45">
        <v>286363.27</v>
      </c>
      <c r="I24" s="45">
        <f>((182850+21850+8050+99820+40480)*1.625)*8</f>
        <v>4589650</v>
      </c>
      <c r="J24" s="45">
        <f>(175941+99624)*2</f>
        <v>551130</v>
      </c>
    </row>
    <row r="25" spans="1:10" ht="25.5" x14ac:dyDescent="0.2">
      <c r="A25" s="3">
        <v>29805</v>
      </c>
      <c r="B25" s="26" t="s">
        <v>85</v>
      </c>
      <c r="C25" s="27">
        <v>20935.2</v>
      </c>
      <c r="H25" s="46">
        <f>SUM(H23:H24)</f>
        <v>462318.35</v>
      </c>
      <c r="I25" s="45">
        <v>644993.9</v>
      </c>
      <c r="J25" s="46">
        <f>SUM(J23:J24)</f>
        <v>3363576</v>
      </c>
    </row>
    <row r="26" spans="1:10" x14ac:dyDescent="0.2">
      <c r="A26" s="3">
        <v>32701</v>
      </c>
      <c r="B26" s="26" t="s">
        <v>79</v>
      </c>
      <c r="C26" s="27">
        <v>1073117.1499999999</v>
      </c>
      <c r="H26" s="46"/>
      <c r="I26" s="45">
        <v>1241867.08</v>
      </c>
    </row>
    <row r="27" spans="1:10" x14ac:dyDescent="0.2">
      <c r="A27" s="3">
        <v>51503</v>
      </c>
      <c r="B27" s="26" t="s">
        <v>35</v>
      </c>
      <c r="C27" s="27">
        <f>H74</f>
        <v>6296235.2800000003</v>
      </c>
      <c r="H27" s="47">
        <f>(34500*1.625)*8</f>
        <v>448500</v>
      </c>
      <c r="I27" s="47"/>
    </row>
    <row r="28" spans="1:10" x14ac:dyDescent="0.2">
      <c r="A28" s="3">
        <v>56501</v>
      </c>
      <c r="B28" s="26" t="s">
        <v>63</v>
      </c>
      <c r="C28" s="27">
        <v>1952661.78</v>
      </c>
      <c r="I28" s="46">
        <f>SUM(I23:I27)</f>
        <v>6568050.9800000004</v>
      </c>
    </row>
    <row r="29" spans="1:10" x14ac:dyDescent="0.2">
      <c r="A29" s="3">
        <v>51901</v>
      </c>
      <c r="B29" s="26" t="s">
        <v>83</v>
      </c>
      <c r="C29" s="27">
        <f>I28</f>
        <v>6568050.9800000004</v>
      </c>
    </row>
    <row r="30" spans="1:10" x14ac:dyDescent="0.2">
      <c r="A30" s="3">
        <v>52101</v>
      </c>
      <c r="B30" s="26" t="s">
        <v>84</v>
      </c>
      <c r="C30" s="27">
        <f>J64</f>
        <v>8756538.0799999982</v>
      </c>
      <c r="I30" s="45">
        <f>(2277*1.61)*8</f>
        <v>29327.760000000002</v>
      </c>
    </row>
    <row r="31" spans="1:10" x14ac:dyDescent="0.2">
      <c r="A31" s="3">
        <v>59101</v>
      </c>
      <c r="B31" s="26" t="s">
        <v>80</v>
      </c>
      <c r="C31" s="27">
        <f>7920803.59+H27</f>
        <v>8369303.5899999999</v>
      </c>
      <c r="I31" s="45">
        <f>2277*2</f>
        <v>4554</v>
      </c>
    </row>
    <row r="32" spans="1:10" x14ac:dyDescent="0.2">
      <c r="B32" s="30" t="s">
        <v>33</v>
      </c>
      <c r="C32" s="31">
        <f>SUM(C20:C31)</f>
        <v>83334929.660000011</v>
      </c>
      <c r="H32" s="45">
        <f>(3105*1.61)*8</f>
        <v>39992.400000000001</v>
      </c>
      <c r="I32" s="46">
        <f>SUM(I30:I31)</f>
        <v>33881.760000000002</v>
      </c>
    </row>
    <row r="33" spans="1:3" x14ac:dyDescent="0.2">
      <c r="B33" s="32"/>
      <c r="C33" s="27"/>
    </row>
    <row r="34" spans="1:3" hidden="1" x14ac:dyDescent="0.2">
      <c r="A34" s="15">
        <v>35101</v>
      </c>
      <c r="B34" s="34" t="s">
        <v>30</v>
      </c>
      <c r="C34" s="27">
        <v>73551.045839999992</v>
      </c>
    </row>
    <row r="35" spans="1:3" hidden="1" x14ac:dyDescent="0.2">
      <c r="A35" s="15">
        <v>35101</v>
      </c>
      <c r="B35" s="34" t="s">
        <v>24</v>
      </c>
      <c r="C35" s="27">
        <v>234877.03199999998</v>
      </c>
    </row>
    <row r="36" spans="1:3" hidden="1" x14ac:dyDescent="0.2">
      <c r="A36" s="15">
        <v>35101</v>
      </c>
      <c r="B36" s="34" t="s">
        <v>29</v>
      </c>
      <c r="C36" s="27">
        <v>454755.22919999994</v>
      </c>
    </row>
    <row r="37" spans="1:3" hidden="1" x14ac:dyDescent="0.2">
      <c r="A37" s="15">
        <v>35101</v>
      </c>
      <c r="B37" s="34" t="s">
        <v>28</v>
      </c>
      <c r="C37" s="27">
        <v>22968</v>
      </c>
    </row>
    <row r="38" spans="1:3" hidden="1" x14ac:dyDescent="0.2">
      <c r="A38" s="15">
        <v>35706</v>
      </c>
      <c r="B38" s="34" t="s">
        <v>22</v>
      </c>
      <c r="C38" s="27">
        <v>257822.02919999999</v>
      </c>
    </row>
    <row r="39" spans="1:3" hidden="1" x14ac:dyDescent="0.2">
      <c r="A39" s="15">
        <v>35704</v>
      </c>
      <c r="B39" s="34" t="s">
        <v>21</v>
      </c>
      <c r="C39" s="27">
        <v>84981.599999999991</v>
      </c>
    </row>
    <row r="40" spans="1:3" hidden="1" x14ac:dyDescent="0.2">
      <c r="A40" s="15">
        <v>35708</v>
      </c>
      <c r="B40" s="34" t="s">
        <v>27</v>
      </c>
      <c r="C40" s="27">
        <v>53987.982239999998</v>
      </c>
    </row>
    <row r="41" spans="1:3" hidden="1" x14ac:dyDescent="0.2">
      <c r="A41" s="3">
        <v>35101</v>
      </c>
      <c r="B41" s="34" t="s">
        <v>20</v>
      </c>
      <c r="C41" s="27">
        <v>354667.01183999999</v>
      </c>
    </row>
    <row r="42" spans="1:3" hidden="1" x14ac:dyDescent="0.2">
      <c r="A42" s="3">
        <v>51101</v>
      </c>
      <c r="B42" s="34" t="s">
        <v>26</v>
      </c>
      <c r="C42" s="27">
        <v>381216.08</v>
      </c>
    </row>
    <row r="43" spans="1:3" hidden="1" x14ac:dyDescent="0.2">
      <c r="B43" s="30" t="s">
        <v>12</v>
      </c>
      <c r="C43" s="31">
        <f>SUM(C34:C42)</f>
        <v>1918826.0103200001</v>
      </c>
    </row>
    <row r="44" spans="1:3" hidden="1" x14ac:dyDescent="0.2">
      <c r="B44" s="30"/>
      <c r="C44" s="31"/>
    </row>
    <row r="45" spans="1:3" hidden="1" x14ac:dyDescent="0.2">
      <c r="A45" s="3">
        <v>35101</v>
      </c>
      <c r="B45" s="35" t="s">
        <v>25</v>
      </c>
      <c r="C45" s="36"/>
    </row>
    <row r="46" spans="1:3" hidden="1" x14ac:dyDescent="0.2">
      <c r="A46" s="3">
        <v>35101</v>
      </c>
      <c r="B46" s="35" t="s">
        <v>24</v>
      </c>
      <c r="C46" s="36"/>
    </row>
    <row r="47" spans="1:3" hidden="1" x14ac:dyDescent="0.2">
      <c r="A47" s="3">
        <v>35101</v>
      </c>
      <c r="B47" s="35" t="s">
        <v>23</v>
      </c>
      <c r="C47" s="36"/>
    </row>
    <row r="48" spans="1:3" hidden="1" x14ac:dyDescent="0.2">
      <c r="A48" s="3">
        <v>35706</v>
      </c>
      <c r="B48" s="35" t="s">
        <v>22</v>
      </c>
      <c r="C48" s="36"/>
    </row>
    <row r="49" spans="1:10" hidden="1" x14ac:dyDescent="0.2">
      <c r="A49" s="3">
        <v>35704</v>
      </c>
      <c r="B49" s="35" t="s">
        <v>21</v>
      </c>
      <c r="C49" s="36"/>
    </row>
    <row r="50" spans="1:10" hidden="1" x14ac:dyDescent="0.2">
      <c r="A50" s="3">
        <v>35101</v>
      </c>
      <c r="B50" s="35" t="s">
        <v>20</v>
      </c>
      <c r="C50" s="36"/>
    </row>
    <row r="51" spans="1:10" hidden="1" x14ac:dyDescent="0.2">
      <c r="A51" s="3">
        <v>51101</v>
      </c>
      <c r="B51" s="35" t="s">
        <v>19</v>
      </c>
      <c r="C51" s="36"/>
    </row>
    <row r="52" spans="1:10" hidden="1" x14ac:dyDescent="0.2">
      <c r="B52" s="30" t="s">
        <v>18</v>
      </c>
      <c r="C52" s="31">
        <f>SUM(C45:C51)</f>
        <v>0</v>
      </c>
    </row>
    <row r="53" spans="1:10" hidden="1" x14ac:dyDescent="0.2">
      <c r="B53" s="32"/>
      <c r="C53" s="27"/>
    </row>
    <row r="54" spans="1:10" x14ac:dyDescent="0.2">
      <c r="A54" s="3">
        <v>51101</v>
      </c>
      <c r="B54" s="26" t="s">
        <v>13</v>
      </c>
      <c r="C54" s="27">
        <v>4434155.43</v>
      </c>
    </row>
    <row r="55" spans="1:10" x14ac:dyDescent="0.2">
      <c r="B55" s="30" t="s">
        <v>33</v>
      </c>
      <c r="C55" s="31">
        <f>C32+C54</f>
        <v>87769085.090000004</v>
      </c>
      <c r="F55" s="1">
        <f>89926857.11-C55</f>
        <v>2157772.0199999958</v>
      </c>
    </row>
    <row r="56" spans="1:10" x14ac:dyDescent="0.2">
      <c r="B56" s="32"/>
      <c r="C56" s="27"/>
    </row>
    <row r="57" spans="1:10" x14ac:dyDescent="0.2">
      <c r="A57" s="8">
        <v>11101</v>
      </c>
      <c r="B57" s="28" t="s">
        <v>10</v>
      </c>
      <c r="C57" s="37">
        <v>10959322.016000003</v>
      </c>
      <c r="H57" s="45">
        <v>124352.55</v>
      </c>
      <c r="I57" s="45">
        <v>2372263.94</v>
      </c>
      <c r="J57" s="45">
        <f>((32775+10120+38985+8050+14490+85100)*1.625)*8</f>
        <v>2463760</v>
      </c>
    </row>
    <row r="58" spans="1:10" x14ac:dyDescent="0.2">
      <c r="A58" s="8">
        <v>11301</v>
      </c>
      <c r="B58" s="28" t="s">
        <v>9</v>
      </c>
      <c r="C58" s="37">
        <v>6163841.2616666649</v>
      </c>
      <c r="H58" s="45">
        <v>42768.21</v>
      </c>
      <c r="I58" s="45">
        <v>732471.73</v>
      </c>
      <c r="J58" s="45">
        <v>1820393.72</v>
      </c>
    </row>
    <row r="59" spans="1:10" x14ac:dyDescent="0.2">
      <c r="A59" s="8">
        <v>13202</v>
      </c>
      <c r="B59" s="28" t="s">
        <v>8</v>
      </c>
      <c r="C59" s="37">
        <v>531532.56599999988</v>
      </c>
      <c r="H59" s="45">
        <v>820877.83</v>
      </c>
      <c r="I59" s="45">
        <v>1575655.83</v>
      </c>
      <c r="J59" s="45">
        <v>839379.68</v>
      </c>
    </row>
    <row r="60" spans="1:10" x14ac:dyDescent="0.2">
      <c r="A60" s="8">
        <v>13203</v>
      </c>
      <c r="B60" s="28" t="s">
        <v>7</v>
      </c>
      <c r="C60" s="37">
        <v>1771775.2199999997</v>
      </c>
      <c r="H60" s="45">
        <v>77192.39</v>
      </c>
      <c r="I60" s="45">
        <v>1012357.26</v>
      </c>
      <c r="J60" s="45">
        <v>1233403.56</v>
      </c>
    </row>
    <row r="61" spans="1:10" x14ac:dyDescent="0.2">
      <c r="A61" s="8">
        <v>13401</v>
      </c>
      <c r="B61" s="28" t="s">
        <v>6</v>
      </c>
      <c r="C61" s="37">
        <v>4159847.816666665</v>
      </c>
      <c r="H61" s="45">
        <v>187390.73</v>
      </c>
      <c r="I61" s="45">
        <v>663675.06999999995</v>
      </c>
      <c r="J61" s="45">
        <v>9956.59</v>
      </c>
    </row>
    <row r="62" spans="1:10" x14ac:dyDescent="0.2">
      <c r="A62" s="8">
        <v>14101</v>
      </c>
      <c r="B62" s="28" t="s">
        <v>5</v>
      </c>
      <c r="C62" s="37">
        <v>642624.43554666697</v>
      </c>
      <c r="H62" s="45">
        <v>1894513.54</v>
      </c>
      <c r="I62" s="45">
        <v>1327350.1399999999</v>
      </c>
      <c r="J62" s="47">
        <f>(5750+20700+7475)*2</f>
        <v>67850</v>
      </c>
    </row>
    <row r="63" spans="1:10" x14ac:dyDescent="0.2">
      <c r="A63" s="8">
        <v>15401</v>
      </c>
      <c r="B63" s="28" t="s">
        <v>4</v>
      </c>
      <c r="C63" s="37">
        <v>268087.87666666688</v>
      </c>
      <c r="H63" s="45">
        <v>558650.03</v>
      </c>
      <c r="I63" s="45">
        <v>1230401.98</v>
      </c>
      <c r="J63" s="47">
        <v>2321794.5299999998</v>
      </c>
    </row>
    <row r="64" spans="1:10" x14ac:dyDescent="0.2">
      <c r="A64" s="8">
        <v>15402</v>
      </c>
      <c r="B64" s="28" t="s">
        <v>3</v>
      </c>
      <c r="C64" s="37">
        <v>186522.30000000008</v>
      </c>
      <c r="H64" s="45">
        <f>(87400*1.625)*8</f>
        <v>1136200</v>
      </c>
      <c r="I64" s="45">
        <v>2049145.58</v>
      </c>
      <c r="J64" s="46">
        <f>SUM(J57:J63)</f>
        <v>8756538.0799999982</v>
      </c>
    </row>
    <row r="65" spans="1:9" x14ac:dyDescent="0.2">
      <c r="A65" s="8">
        <v>17101</v>
      </c>
      <c r="B65" s="28" t="s">
        <v>2</v>
      </c>
      <c r="C65" s="37">
        <v>460800</v>
      </c>
      <c r="H65" s="45">
        <f>(87400*1.625)*8</f>
        <v>1136200</v>
      </c>
      <c r="I65" s="47">
        <f>(17871*1.625)*8</f>
        <v>232323</v>
      </c>
    </row>
    <row r="66" spans="1:9" x14ac:dyDescent="0.2">
      <c r="A66" s="76">
        <v>14401</v>
      </c>
      <c r="B66" s="77" t="s">
        <v>113</v>
      </c>
      <c r="C66" s="37">
        <f>54*639.36</f>
        <v>34525.440000000002</v>
      </c>
      <c r="I66" s="47"/>
    </row>
    <row r="67" spans="1:9" x14ac:dyDescent="0.2">
      <c r="A67" s="76">
        <v>14410</v>
      </c>
      <c r="B67" s="80" t="s">
        <v>114</v>
      </c>
      <c r="C67" s="37">
        <f>12638.34*12</f>
        <v>151660.08000000002</v>
      </c>
      <c r="I67" s="47"/>
    </row>
    <row r="68" spans="1:9" ht="25.5" x14ac:dyDescent="0.2">
      <c r="A68" s="76">
        <v>14412</v>
      </c>
      <c r="B68" s="80" t="s">
        <v>115</v>
      </c>
      <c r="C68" s="37">
        <f>30000*12</f>
        <v>360000</v>
      </c>
      <c r="I68" s="47"/>
    </row>
    <row r="69" spans="1:9" ht="25.5" x14ac:dyDescent="0.2">
      <c r="A69" s="76">
        <v>15913</v>
      </c>
      <c r="B69" s="80" t="s">
        <v>87</v>
      </c>
      <c r="C69" s="37">
        <f>40000*12</f>
        <v>480000</v>
      </c>
      <c r="I69" s="47"/>
    </row>
    <row r="70" spans="1:9" x14ac:dyDescent="0.2">
      <c r="B70" s="6" t="s">
        <v>1</v>
      </c>
      <c r="C70" s="31">
        <f>SUM(C57:C69)</f>
        <v>26170539.012546662</v>
      </c>
      <c r="H70" s="45">
        <f>(12650*1.625)*8</f>
        <v>164450</v>
      </c>
      <c r="I70" s="45">
        <f>(32200*1.625)*8</f>
        <v>418600</v>
      </c>
    </row>
    <row r="71" spans="1:9" x14ac:dyDescent="0.2">
      <c r="H71" s="45">
        <f>(5060*1.625)*8</f>
        <v>65780</v>
      </c>
      <c r="I71" s="47">
        <f>16100*2</f>
        <v>32200</v>
      </c>
    </row>
    <row r="72" spans="1:9" x14ac:dyDescent="0.2">
      <c r="B72" s="6" t="s">
        <v>0</v>
      </c>
      <c r="C72" s="4">
        <f>C18+C70+C55</f>
        <v>118571329.04254666</v>
      </c>
      <c r="D72" s="1"/>
      <c r="H72" s="47">
        <f>(5060*2)</f>
        <v>10120</v>
      </c>
      <c r="I72" s="47">
        <v>4128061.46</v>
      </c>
    </row>
    <row r="73" spans="1:9" x14ac:dyDescent="0.2">
      <c r="H73" s="47">
        <f>(5980*1.625)*8</f>
        <v>77740</v>
      </c>
      <c r="I73" s="45">
        <v>843524.76</v>
      </c>
    </row>
    <row r="74" spans="1:9" x14ac:dyDescent="0.2">
      <c r="H74" s="46">
        <f>SUM(H57:H73)</f>
        <v>6296235.2800000003</v>
      </c>
      <c r="I74" s="45">
        <v>29424808.719999999</v>
      </c>
    </row>
    <row r="75" spans="1:9" x14ac:dyDescent="0.2">
      <c r="I75" s="46">
        <f>SUM(I57:I74)</f>
        <v>46042839.469999999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D72"/>
  <sheetViews>
    <sheetView topLeftCell="A30" zoomScaleNormal="100" workbookViewId="0">
      <selection activeCell="I74" sqref="I74"/>
    </sheetView>
  </sheetViews>
  <sheetFormatPr baseColWidth="10" defaultColWidth="11.42578125" defaultRowHeight="12.75" x14ac:dyDescent="0.2"/>
  <cols>
    <col min="1" max="1" width="13.7109375" style="3" customWidth="1"/>
    <col min="2" max="2" width="45.7109375" style="2" customWidth="1"/>
    <col min="3" max="3" width="18" style="1" customWidth="1"/>
    <col min="4" max="4" width="11.42578125" customWidth="1"/>
  </cols>
  <sheetData>
    <row r="2" spans="1:4" x14ac:dyDescent="0.2">
      <c r="A2" s="98" t="s">
        <v>53</v>
      </c>
      <c r="B2" s="98"/>
      <c r="C2" s="98"/>
      <c r="D2" s="98"/>
    </row>
    <row r="3" spans="1:4" x14ac:dyDescent="0.2">
      <c r="A3" s="98" t="s">
        <v>128</v>
      </c>
      <c r="B3" s="98"/>
      <c r="C3" s="98"/>
      <c r="D3" s="98"/>
    </row>
    <row r="4" spans="1:4" x14ac:dyDescent="0.2">
      <c r="A4" s="43"/>
      <c r="B4" s="43"/>
      <c r="C4" s="43"/>
      <c r="D4" s="43"/>
    </row>
    <row r="5" spans="1:4" x14ac:dyDescent="0.2">
      <c r="A5" s="43"/>
      <c r="B5" s="43"/>
      <c r="C5" s="43"/>
      <c r="D5" s="43"/>
    </row>
    <row r="6" spans="1:4" x14ac:dyDescent="0.2">
      <c r="C6" s="21" t="s">
        <v>76</v>
      </c>
      <c r="D6" s="22"/>
    </row>
    <row r="7" spans="1:4" x14ac:dyDescent="0.2">
      <c r="A7" s="3">
        <v>21101</v>
      </c>
      <c r="B7" s="26" t="s">
        <v>52</v>
      </c>
      <c r="C7" s="27">
        <v>172201.52</v>
      </c>
    </row>
    <row r="8" spans="1:4" x14ac:dyDescent="0.2">
      <c r="A8" s="3">
        <v>21601</v>
      </c>
      <c r="B8" s="26" t="s">
        <v>51</v>
      </c>
      <c r="C8" s="27">
        <v>20225.759999999998</v>
      </c>
    </row>
    <row r="9" spans="1:4" x14ac:dyDescent="0.2">
      <c r="A9" s="3">
        <v>21201</v>
      </c>
      <c r="B9" s="26" t="s">
        <v>50</v>
      </c>
      <c r="C9" s="27">
        <v>6815.91</v>
      </c>
    </row>
    <row r="10" spans="1:4" x14ac:dyDescent="0.2">
      <c r="A10" s="3">
        <v>31101</v>
      </c>
      <c r="B10" s="26" t="s">
        <v>49</v>
      </c>
      <c r="C10" s="27">
        <f>1700000+800000</f>
        <v>2500000</v>
      </c>
    </row>
    <row r="11" spans="1:4" x14ac:dyDescent="0.2">
      <c r="A11" s="3">
        <v>31301</v>
      </c>
      <c r="B11" s="26" t="s">
        <v>46</v>
      </c>
      <c r="C11" s="27">
        <v>150000</v>
      </c>
    </row>
    <row r="12" spans="1:4" ht="25.5" x14ac:dyDescent="0.2">
      <c r="A12" s="3">
        <v>31701</v>
      </c>
      <c r="B12" s="26" t="s">
        <v>48</v>
      </c>
      <c r="C12" s="27">
        <v>272727.27</v>
      </c>
    </row>
    <row r="13" spans="1:4" x14ac:dyDescent="0.2">
      <c r="A13" s="3">
        <v>31401</v>
      </c>
      <c r="B13" s="26" t="s">
        <v>47</v>
      </c>
      <c r="C13" s="27">
        <v>81818.179999999993</v>
      </c>
    </row>
    <row r="14" spans="1:4" x14ac:dyDescent="0.2">
      <c r="A14" s="3">
        <v>31301</v>
      </c>
      <c r="B14" s="26" t="s">
        <v>46</v>
      </c>
      <c r="C14" s="27">
        <v>11400</v>
      </c>
    </row>
    <row r="15" spans="1:4" ht="38.25" x14ac:dyDescent="0.2">
      <c r="A15" s="3">
        <v>32301</v>
      </c>
      <c r="B15" s="26" t="s">
        <v>45</v>
      </c>
      <c r="C15" s="29">
        <v>95150</v>
      </c>
    </row>
    <row r="16" spans="1:4" x14ac:dyDescent="0.2">
      <c r="A16" s="3">
        <v>33801</v>
      </c>
      <c r="B16" s="26" t="s">
        <v>44</v>
      </c>
      <c r="C16" s="27">
        <v>511000</v>
      </c>
    </row>
    <row r="17" spans="1:3" ht="25.5" x14ac:dyDescent="0.2">
      <c r="A17" s="3">
        <v>21401</v>
      </c>
      <c r="B17" s="26" t="s">
        <v>43</v>
      </c>
      <c r="C17" s="27">
        <v>500000</v>
      </c>
    </row>
    <row r="18" spans="1:3" x14ac:dyDescent="0.2">
      <c r="B18" s="30" t="s">
        <v>42</v>
      </c>
      <c r="C18" s="31">
        <f>SUM(C7:C17)</f>
        <v>4321338.6400000006</v>
      </c>
    </row>
    <row r="19" spans="1:3" x14ac:dyDescent="0.2">
      <c r="B19" s="32"/>
      <c r="C19" s="27"/>
    </row>
    <row r="20" spans="1:3" x14ac:dyDescent="0.2">
      <c r="A20" s="3">
        <v>51501</v>
      </c>
      <c r="B20" s="26" t="s">
        <v>78</v>
      </c>
      <c r="C20" s="27">
        <v>45473281.844999999</v>
      </c>
    </row>
    <row r="21" spans="1:3" x14ac:dyDescent="0.2">
      <c r="A21" s="3">
        <v>51502</v>
      </c>
      <c r="B21" s="26" t="s">
        <v>40</v>
      </c>
      <c r="C21" s="27">
        <v>462318.35</v>
      </c>
    </row>
    <row r="22" spans="1:3" ht="25.5" x14ac:dyDescent="0.2">
      <c r="A22" s="3">
        <v>35301</v>
      </c>
      <c r="B22" s="26" t="s">
        <v>86</v>
      </c>
      <c r="C22" s="27">
        <v>902685.75</v>
      </c>
    </row>
    <row r="23" spans="1:3" ht="25.5" x14ac:dyDescent="0.2">
      <c r="A23" s="3">
        <v>56601</v>
      </c>
      <c r="B23" s="26" t="s">
        <v>81</v>
      </c>
      <c r="C23" s="27">
        <v>395472.02</v>
      </c>
    </row>
    <row r="24" spans="1:3" ht="25.5" x14ac:dyDescent="0.2">
      <c r="A24" s="3">
        <v>29401</v>
      </c>
      <c r="B24" s="26" t="s">
        <v>82</v>
      </c>
      <c r="C24" s="27">
        <v>8219.9700000000012</v>
      </c>
    </row>
    <row r="25" spans="1:3" ht="25.5" x14ac:dyDescent="0.2">
      <c r="A25" s="3">
        <v>29805</v>
      </c>
      <c r="B25" s="26" t="s">
        <v>85</v>
      </c>
      <c r="C25" s="27">
        <v>20935.2</v>
      </c>
    </row>
    <row r="26" spans="1:3" x14ac:dyDescent="0.2">
      <c r="A26" s="3">
        <v>32701</v>
      </c>
      <c r="B26" s="26" t="s">
        <v>79</v>
      </c>
      <c r="C26" s="27">
        <v>1073117.1499999999</v>
      </c>
    </row>
    <row r="27" spans="1:3" x14ac:dyDescent="0.2">
      <c r="A27" s="3">
        <v>51503</v>
      </c>
      <c r="B27" s="26" t="s">
        <v>35</v>
      </c>
      <c r="C27" s="27">
        <v>4038411.5300000003</v>
      </c>
    </row>
    <row r="28" spans="1:3" x14ac:dyDescent="0.2">
      <c r="A28" s="3">
        <v>56501</v>
      </c>
      <c r="B28" s="26" t="s">
        <v>63</v>
      </c>
      <c r="C28" s="27">
        <v>1952661.78</v>
      </c>
    </row>
    <row r="29" spans="1:3" x14ac:dyDescent="0.2">
      <c r="A29" s="3">
        <v>51901</v>
      </c>
      <c r="B29" s="26" t="s">
        <v>83</v>
      </c>
      <c r="C29" s="27">
        <v>2552107.23</v>
      </c>
    </row>
    <row r="30" spans="1:3" x14ac:dyDescent="0.2">
      <c r="A30" s="3">
        <v>52101</v>
      </c>
      <c r="B30" s="26" t="s">
        <v>84</v>
      </c>
      <c r="C30" s="27">
        <v>6600748.0800000001</v>
      </c>
    </row>
    <row r="31" spans="1:3" x14ac:dyDescent="0.2">
      <c r="A31" s="3">
        <v>59101</v>
      </c>
      <c r="B31" s="26" t="s">
        <v>80</v>
      </c>
      <c r="C31" s="27">
        <v>7976866.0899999999</v>
      </c>
    </row>
    <row r="32" spans="1:3" x14ac:dyDescent="0.2">
      <c r="B32" s="30" t="s">
        <v>33</v>
      </c>
      <c r="C32" s="31">
        <f>SUM(C20:C31)</f>
        <v>71456824.995000005</v>
      </c>
    </row>
    <row r="33" spans="1:3" x14ac:dyDescent="0.2">
      <c r="B33" s="32"/>
      <c r="C33" s="27"/>
    </row>
    <row r="34" spans="1:3" hidden="1" x14ac:dyDescent="0.2">
      <c r="A34" s="15">
        <v>35101</v>
      </c>
      <c r="B34" s="34" t="s">
        <v>30</v>
      </c>
      <c r="C34" s="27">
        <v>73551.045839999992</v>
      </c>
    </row>
    <row r="35" spans="1:3" hidden="1" x14ac:dyDescent="0.2">
      <c r="A35" s="15">
        <v>35101</v>
      </c>
      <c r="B35" s="34" t="s">
        <v>24</v>
      </c>
      <c r="C35" s="27">
        <v>234877.03199999998</v>
      </c>
    </row>
    <row r="36" spans="1:3" hidden="1" x14ac:dyDescent="0.2">
      <c r="A36" s="15">
        <v>35101</v>
      </c>
      <c r="B36" s="34" t="s">
        <v>29</v>
      </c>
      <c r="C36" s="27">
        <v>454755.22919999994</v>
      </c>
    </row>
    <row r="37" spans="1:3" hidden="1" x14ac:dyDescent="0.2">
      <c r="A37" s="15">
        <v>35101</v>
      </c>
      <c r="B37" s="34" t="s">
        <v>28</v>
      </c>
      <c r="C37" s="27">
        <v>22968</v>
      </c>
    </row>
    <row r="38" spans="1:3" hidden="1" x14ac:dyDescent="0.2">
      <c r="A38" s="15">
        <v>35706</v>
      </c>
      <c r="B38" s="34" t="s">
        <v>22</v>
      </c>
      <c r="C38" s="27">
        <v>257822.02919999999</v>
      </c>
    </row>
    <row r="39" spans="1:3" hidden="1" x14ac:dyDescent="0.2">
      <c r="A39" s="15">
        <v>35704</v>
      </c>
      <c r="B39" s="34" t="s">
        <v>21</v>
      </c>
      <c r="C39" s="27">
        <v>84981.599999999991</v>
      </c>
    </row>
    <row r="40" spans="1:3" hidden="1" x14ac:dyDescent="0.2">
      <c r="A40" s="15">
        <v>35708</v>
      </c>
      <c r="B40" s="34" t="s">
        <v>27</v>
      </c>
      <c r="C40" s="27">
        <v>53987.982239999998</v>
      </c>
    </row>
    <row r="41" spans="1:3" hidden="1" x14ac:dyDescent="0.2">
      <c r="A41" s="3">
        <v>35101</v>
      </c>
      <c r="B41" s="34" t="s">
        <v>20</v>
      </c>
      <c r="C41" s="27">
        <v>354667.01183999999</v>
      </c>
    </row>
    <row r="42" spans="1:3" hidden="1" x14ac:dyDescent="0.2">
      <c r="A42" s="3">
        <v>51101</v>
      </c>
      <c r="B42" s="34" t="s">
        <v>26</v>
      </c>
      <c r="C42" s="27">
        <v>381216.08</v>
      </c>
    </row>
    <row r="43" spans="1:3" hidden="1" x14ac:dyDescent="0.2">
      <c r="B43" s="30" t="s">
        <v>12</v>
      </c>
      <c r="C43" s="31">
        <f>SUM(C34:C42)</f>
        <v>1918826.0103200001</v>
      </c>
    </row>
    <row r="44" spans="1:3" hidden="1" x14ac:dyDescent="0.2">
      <c r="B44" s="30"/>
      <c r="C44" s="31"/>
    </row>
    <row r="45" spans="1:3" hidden="1" x14ac:dyDescent="0.2">
      <c r="A45" s="3">
        <v>35101</v>
      </c>
      <c r="B45" s="35" t="s">
        <v>25</v>
      </c>
      <c r="C45" s="36"/>
    </row>
    <row r="46" spans="1:3" hidden="1" x14ac:dyDescent="0.2">
      <c r="A46" s="3">
        <v>35101</v>
      </c>
      <c r="B46" s="35" t="s">
        <v>24</v>
      </c>
      <c r="C46" s="36"/>
    </row>
    <row r="47" spans="1:3" hidden="1" x14ac:dyDescent="0.2">
      <c r="A47" s="3">
        <v>35101</v>
      </c>
      <c r="B47" s="35" t="s">
        <v>23</v>
      </c>
      <c r="C47" s="36"/>
    </row>
    <row r="48" spans="1:3" hidden="1" x14ac:dyDescent="0.2">
      <c r="A48" s="3">
        <v>35706</v>
      </c>
      <c r="B48" s="35" t="s">
        <v>22</v>
      </c>
      <c r="C48" s="36"/>
    </row>
    <row r="49" spans="1:3" hidden="1" x14ac:dyDescent="0.2">
      <c r="A49" s="3">
        <v>35704</v>
      </c>
      <c r="B49" s="35" t="s">
        <v>21</v>
      </c>
      <c r="C49" s="36"/>
    </row>
    <row r="50" spans="1:3" hidden="1" x14ac:dyDescent="0.2">
      <c r="A50" s="3">
        <v>35101</v>
      </c>
      <c r="B50" s="35" t="s">
        <v>20</v>
      </c>
      <c r="C50" s="36"/>
    </row>
    <row r="51" spans="1:3" hidden="1" x14ac:dyDescent="0.2">
      <c r="A51" s="3">
        <v>51101</v>
      </c>
      <c r="B51" s="35" t="s">
        <v>19</v>
      </c>
      <c r="C51" s="36"/>
    </row>
    <row r="52" spans="1:3" hidden="1" x14ac:dyDescent="0.2">
      <c r="B52" s="30" t="s">
        <v>18</v>
      </c>
      <c r="C52" s="31">
        <f>SUM(C45:C51)</f>
        <v>0</v>
      </c>
    </row>
    <row r="53" spans="1:3" hidden="1" x14ac:dyDescent="0.2">
      <c r="B53" s="32"/>
      <c r="C53" s="27"/>
    </row>
    <row r="54" spans="1:3" x14ac:dyDescent="0.2">
      <c r="A54" s="3">
        <v>51101</v>
      </c>
      <c r="B54" s="26" t="s">
        <v>13</v>
      </c>
      <c r="C54" s="27">
        <v>4434155.43</v>
      </c>
    </row>
    <row r="55" spans="1:3" x14ac:dyDescent="0.2">
      <c r="B55" s="30" t="s">
        <v>12</v>
      </c>
      <c r="C55" s="31">
        <f>SUM(C54:C54)</f>
        <v>4434155.43</v>
      </c>
    </row>
    <row r="56" spans="1:3" x14ac:dyDescent="0.2">
      <c r="B56" s="32"/>
      <c r="C56" s="27"/>
    </row>
    <row r="57" spans="1:3" x14ac:dyDescent="0.2">
      <c r="A57" s="8">
        <v>11101</v>
      </c>
      <c r="B57" s="28" t="s">
        <v>10</v>
      </c>
      <c r="C57" s="37">
        <v>3653107.3386666668</v>
      </c>
    </row>
    <row r="58" spans="1:3" x14ac:dyDescent="0.2">
      <c r="A58" s="8">
        <v>11301</v>
      </c>
      <c r="B58" s="28" t="s">
        <v>9</v>
      </c>
      <c r="C58" s="37">
        <v>1455152.9216666669</v>
      </c>
    </row>
    <row r="59" spans="1:3" x14ac:dyDescent="0.2">
      <c r="A59" s="8">
        <v>13202</v>
      </c>
      <c r="B59" s="28" t="s">
        <v>8</v>
      </c>
      <c r="C59" s="37">
        <v>115243.212</v>
      </c>
    </row>
    <row r="60" spans="1:3" x14ac:dyDescent="0.2">
      <c r="A60" s="8">
        <v>13203</v>
      </c>
      <c r="B60" s="28" t="s">
        <v>7</v>
      </c>
      <c r="C60" s="37">
        <v>384144.04</v>
      </c>
    </row>
    <row r="61" spans="1:3" x14ac:dyDescent="0.2">
      <c r="A61" s="8">
        <v>13401</v>
      </c>
      <c r="B61" s="28" t="s">
        <v>6</v>
      </c>
      <c r="C61" s="37">
        <v>771232.10333333327</v>
      </c>
    </row>
    <row r="62" spans="1:3" x14ac:dyDescent="0.2">
      <c r="A62" s="8">
        <v>14101</v>
      </c>
      <c r="B62" s="28" t="s">
        <v>5</v>
      </c>
      <c r="C62" s="37">
        <v>152017.61184000003</v>
      </c>
    </row>
    <row r="63" spans="1:3" x14ac:dyDescent="0.2">
      <c r="A63" s="8">
        <v>15401</v>
      </c>
      <c r="B63" s="28" t="s">
        <v>4</v>
      </c>
      <c r="C63" s="37">
        <v>65587.70166666666</v>
      </c>
    </row>
    <row r="64" spans="1:3" x14ac:dyDescent="0.2">
      <c r="A64" s="8">
        <v>15402</v>
      </c>
      <c r="B64" s="28" t="s">
        <v>3</v>
      </c>
      <c r="C64" s="37">
        <v>44903.516666666663</v>
      </c>
    </row>
    <row r="65" spans="1:4" x14ac:dyDescent="0.2">
      <c r="A65" s="8">
        <v>17101</v>
      </c>
      <c r="B65" s="28" t="s">
        <v>2</v>
      </c>
      <c r="C65" s="37">
        <v>105600</v>
      </c>
    </row>
    <row r="66" spans="1:4" x14ac:dyDescent="0.2">
      <c r="A66" s="76">
        <v>14401</v>
      </c>
      <c r="B66" s="77" t="s">
        <v>113</v>
      </c>
      <c r="C66" s="37">
        <f>13*639.36</f>
        <v>8311.68</v>
      </c>
    </row>
    <row r="67" spans="1:4" x14ac:dyDescent="0.2">
      <c r="A67" s="76">
        <v>14410</v>
      </c>
      <c r="B67" s="80" t="s">
        <v>114</v>
      </c>
      <c r="C67" s="37">
        <f>12638.34*4</f>
        <v>50553.36</v>
      </c>
    </row>
    <row r="68" spans="1:4" ht="25.5" x14ac:dyDescent="0.2">
      <c r="A68" s="76">
        <v>14412</v>
      </c>
      <c r="B68" s="80" t="s">
        <v>115</v>
      </c>
      <c r="C68" s="37">
        <f>30000*4</f>
        <v>120000</v>
      </c>
    </row>
    <row r="69" spans="1:4" ht="25.5" x14ac:dyDescent="0.2">
      <c r="A69" s="76">
        <v>15913</v>
      </c>
      <c r="B69" s="80" t="s">
        <v>87</v>
      </c>
      <c r="C69" s="37">
        <f>40000*4</f>
        <v>160000</v>
      </c>
    </row>
    <row r="70" spans="1:4" x14ac:dyDescent="0.2">
      <c r="B70" s="30" t="s">
        <v>1</v>
      </c>
      <c r="C70" s="31">
        <f>SUM(C57:C69)</f>
        <v>7085853.4858400002</v>
      </c>
    </row>
    <row r="71" spans="1:4" x14ac:dyDescent="0.2">
      <c r="B71" s="32"/>
      <c r="C71" s="27"/>
    </row>
    <row r="72" spans="1:4" x14ac:dyDescent="0.2">
      <c r="B72" s="6" t="s">
        <v>0</v>
      </c>
      <c r="C72" s="4">
        <f>C70+C55+C32+C18</f>
        <v>87298172.550840005</v>
      </c>
      <c r="D72" s="1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D72"/>
  <sheetViews>
    <sheetView zoomScaleNormal="100" workbookViewId="0">
      <selection activeCell="A9" sqref="A9"/>
    </sheetView>
  </sheetViews>
  <sheetFormatPr baseColWidth="10" defaultColWidth="11.42578125" defaultRowHeight="12.75" x14ac:dyDescent="0.2"/>
  <cols>
    <col min="1" max="1" width="13.7109375" style="3" customWidth="1"/>
    <col min="2" max="2" width="45.7109375" style="2" customWidth="1"/>
    <col min="3" max="3" width="18" style="1" customWidth="1"/>
    <col min="4" max="4" width="11.42578125" customWidth="1"/>
  </cols>
  <sheetData>
    <row r="2" spans="1:4" x14ac:dyDescent="0.2">
      <c r="A2" s="98" t="s">
        <v>53</v>
      </c>
      <c r="B2" s="98"/>
      <c r="C2" s="98"/>
      <c r="D2" s="98"/>
    </row>
    <row r="3" spans="1:4" x14ac:dyDescent="0.2">
      <c r="A3" s="98" t="s">
        <v>92</v>
      </c>
      <c r="B3" s="98"/>
      <c r="C3" s="98"/>
      <c r="D3" s="98"/>
    </row>
    <row r="4" spans="1:4" x14ac:dyDescent="0.2">
      <c r="A4" s="43"/>
      <c r="B4" s="43"/>
      <c r="C4" s="43"/>
      <c r="D4" s="43"/>
    </row>
    <row r="5" spans="1:4" x14ac:dyDescent="0.2">
      <c r="A5" s="43"/>
      <c r="B5" s="43"/>
      <c r="C5" s="43"/>
      <c r="D5" s="43"/>
    </row>
    <row r="6" spans="1:4" x14ac:dyDescent="0.2">
      <c r="C6" s="21" t="s">
        <v>75</v>
      </c>
      <c r="D6" s="22"/>
    </row>
    <row r="7" spans="1:4" x14ac:dyDescent="0.2">
      <c r="A7" s="3">
        <v>21101</v>
      </c>
      <c r="B7" s="26" t="s">
        <v>52</v>
      </c>
      <c r="C7" s="27">
        <v>120541.06</v>
      </c>
    </row>
    <row r="8" spans="1:4" x14ac:dyDescent="0.2">
      <c r="A8" s="3">
        <v>21601</v>
      </c>
      <c r="B8" s="26" t="s">
        <v>51</v>
      </c>
      <c r="C8" s="27">
        <v>14158.03</v>
      </c>
    </row>
    <row r="9" spans="1:4" x14ac:dyDescent="0.2">
      <c r="A9" s="3">
        <v>21201</v>
      </c>
      <c r="B9" s="26" t="s">
        <v>50</v>
      </c>
      <c r="C9" s="27">
        <v>4771.1400000000003</v>
      </c>
    </row>
    <row r="10" spans="1:4" x14ac:dyDescent="0.2">
      <c r="A10" s="3">
        <v>31101</v>
      </c>
      <c r="B10" s="26" t="s">
        <v>49</v>
      </c>
      <c r="C10" s="27">
        <f>1700000+800000</f>
        <v>2500000</v>
      </c>
    </row>
    <row r="11" spans="1:4" x14ac:dyDescent="0.2">
      <c r="A11" s="3">
        <v>31301</v>
      </c>
      <c r="B11" s="26" t="s">
        <v>46</v>
      </c>
      <c r="C11" s="27">
        <v>150000</v>
      </c>
    </row>
    <row r="12" spans="1:4" ht="25.5" x14ac:dyDescent="0.2">
      <c r="A12" s="3">
        <v>31701</v>
      </c>
      <c r="B12" s="26" t="s">
        <v>48</v>
      </c>
      <c r="C12" s="27">
        <v>190909.09</v>
      </c>
    </row>
    <row r="13" spans="1:4" x14ac:dyDescent="0.2">
      <c r="A13" s="3">
        <v>31401</v>
      </c>
      <c r="B13" s="26" t="s">
        <v>47</v>
      </c>
      <c r="C13" s="27">
        <v>57272.73</v>
      </c>
    </row>
    <row r="14" spans="1:4" x14ac:dyDescent="0.2">
      <c r="A14" s="3">
        <v>31301</v>
      </c>
      <c r="B14" s="26" t="s">
        <v>46</v>
      </c>
      <c r="C14" s="27">
        <v>7980</v>
      </c>
    </row>
    <row r="15" spans="1:4" ht="38.25" x14ac:dyDescent="0.2">
      <c r="A15" s="3">
        <v>32301</v>
      </c>
      <c r="B15" s="26" t="s">
        <v>45</v>
      </c>
      <c r="C15" s="29">
        <v>66605</v>
      </c>
    </row>
    <row r="16" spans="1:4" x14ac:dyDescent="0.2">
      <c r="A16" s="3">
        <v>33801</v>
      </c>
      <c r="B16" s="26" t="s">
        <v>44</v>
      </c>
      <c r="C16" s="27">
        <v>511000</v>
      </c>
    </row>
    <row r="17" spans="1:3" ht="25.5" x14ac:dyDescent="0.2">
      <c r="A17" s="3">
        <v>21401</v>
      </c>
      <c r="B17" s="26" t="s">
        <v>43</v>
      </c>
      <c r="C17" s="27">
        <v>311818.18</v>
      </c>
    </row>
    <row r="18" spans="1:3" x14ac:dyDescent="0.2">
      <c r="B18" s="30" t="s">
        <v>42</v>
      </c>
      <c r="C18" s="31">
        <f>SUM(C7:C17)</f>
        <v>3935055.23</v>
      </c>
    </row>
    <row r="19" spans="1:3" x14ac:dyDescent="0.2">
      <c r="B19" s="32"/>
      <c r="C19" s="27"/>
    </row>
    <row r="20" spans="1:3" x14ac:dyDescent="0.2">
      <c r="A20" s="3">
        <v>51501</v>
      </c>
      <c r="B20" s="26" t="s">
        <v>78</v>
      </c>
      <c r="C20" s="27">
        <v>41849489.344999999</v>
      </c>
    </row>
    <row r="21" spans="1:3" x14ac:dyDescent="0.2">
      <c r="A21" s="3">
        <v>51502</v>
      </c>
      <c r="B21" s="26" t="s">
        <v>40</v>
      </c>
      <c r="C21" s="27">
        <v>363491.05</v>
      </c>
    </row>
    <row r="22" spans="1:3" ht="25.5" x14ac:dyDescent="0.2">
      <c r="A22" s="3">
        <v>35301</v>
      </c>
      <c r="B22" s="26" t="s">
        <v>86</v>
      </c>
      <c r="C22" s="27">
        <v>902685.75</v>
      </c>
    </row>
    <row r="23" spans="1:3" ht="25.5" x14ac:dyDescent="0.2">
      <c r="A23" s="3">
        <v>56601</v>
      </c>
      <c r="B23" s="26" t="s">
        <v>81</v>
      </c>
      <c r="C23" s="27">
        <v>332567.00000000006</v>
      </c>
    </row>
    <row r="24" spans="1:3" ht="25.5" x14ac:dyDescent="0.2">
      <c r="A24" s="3">
        <v>29401</v>
      </c>
      <c r="B24" s="26" t="s">
        <v>82</v>
      </c>
      <c r="C24" s="27">
        <v>33881.760000000002</v>
      </c>
    </row>
    <row r="25" spans="1:3" ht="25.5" x14ac:dyDescent="0.2">
      <c r="A25" s="3">
        <v>29805</v>
      </c>
      <c r="B25" s="26" t="s">
        <v>85</v>
      </c>
      <c r="C25" s="27">
        <v>20935.2</v>
      </c>
    </row>
    <row r="26" spans="1:3" x14ac:dyDescent="0.2">
      <c r="A26" s="3">
        <v>32701</v>
      </c>
      <c r="B26" s="26" t="s">
        <v>79</v>
      </c>
      <c r="C26" s="27">
        <v>1073117.1499999999</v>
      </c>
    </row>
    <row r="27" spans="1:3" x14ac:dyDescent="0.2">
      <c r="A27" s="3">
        <v>51503</v>
      </c>
      <c r="B27" s="26" t="s">
        <v>35</v>
      </c>
      <c r="C27" s="27">
        <v>2947607.0300000003</v>
      </c>
    </row>
    <row r="28" spans="1:3" x14ac:dyDescent="0.2">
      <c r="A28" s="3">
        <v>56501</v>
      </c>
      <c r="B28" s="26" t="s">
        <v>63</v>
      </c>
      <c r="C28" s="27">
        <v>1952661.78</v>
      </c>
    </row>
    <row r="29" spans="1:3" x14ac:dyDescent="0.2">
      <c r="A29" s="3">
        <v>51901</v>
      </c>
      <c r="B29" s="26" t="s">
        <v>83</v>
      </c>
      <c r="C29" s="27">
        <v>2552107.23</v>
      </c>
    </row>
    <row r="30" spans="1:3" x14ac:dyDescent="0.2">
      <c r="A30" s="3">
        <v>52101</v>
      </c>
      <c r="B30" s="26" t="s">
        <v>84</v>
      </c>
      <c r="C30" s="27">
        <v>2201012.7199999997</v>
      </c>
    </row>
    <row r="31" spans="1:3" x14ac:dyDescent="0.2">
      <c r="A31" s="3">
        <v>59101</v>
      </c>
      <c r="B31" s="26" t="s">
        <v>80</v>
      </c>
      <c r="C31" s="27">
        <v>7927632.46</v>
      </c>
    </row>
    <row r="32" spans="1:3" x14ac:dyDescent="0.2">
      <c r="B32" s="30" t="s">
        <v>33</v>
      </c>
      <c r="C32" s="31">
        <f>SUM(C20:C31)</f>
        <v>62157188.474999994</v>
      </c>
    </row>
    <row r="33" spans="1:3" x14ac:dyDescent="0.2">
      <c r="B33" s="32"/>
      <c r="C33" s="27"/>
    </row>
    <row r="34" spans="1:3" hidden="1" x14ac:dyDescent="0.2">
      <c r="A34" s="15">
        <v>35101</v>
      </c>
      <c r="B34" s="34" t="s">
        <v>30</v>
      </c>
      <c r="C34" s="27">
        <v>73551.045839999992</v>
      </c>
    </row>
    <row r="35" spans="1:3" hidden="1" x14ac:dyDescent="0.2">
      <c r="A35" s="15">
        <v>35101</v>
      </c>
      <c r="B35" s="34" t="s">
        <v>24</v>
      </c>
      <c r="C35" s="27">
        <v>234877.03199999998</v>
      </c>
    </row>
    <row r="36" spans="1:3" hidden="1" x14ac:dyDescent="0.2">
      <c r="A36" s="15">
        <v>35101</v>
      </c>
      <c r="B36" s="34" t="s">
        <v>29</v>
      </c>
      <c r="C36" s="27">
        <v>454755.22919999994</v>
      </c>
    </row>
    <row r="37" spans="1:3" hidden="1" x14ac:dyDescent="0.2">
      <c r="A37" s="15">
        <v>35101</v>
      </c>
      <c r="B37" s="34" t="s">
        <v>28</v>
      </c>
      <c r="C37" s="27">
        <v>22968</v>
      </c>
    </row>
    <row r="38" spans="1:3" hidden="1" x14ac:dyDescent="0.2">
      <c r="A38" s="15">
        <v>35706</v>
      </c>
      <c r="B38" s="34" t="s">
        <v>22</v>
      </c>
      <c r="C38" s="27">
        <v>257822.02919999999</v>
      </c>
    </row>
    <row r="39" spans="1:3" hidden="1" x14ac:dyDescent="0.2">
      <c r="A39" s="15">
        <v>35704</v>
      </c>
      <c r="B39" s="34" t="s">
        <v>21</v>
      </c>
      <c r="C39" s="27">
        <v>84981.599999999991</v>
      </c>
    </row>
    <row r="40" spans="1:3" hidden="1" x14ac:dyDescent="0.2">
      <c r="A40" s="15">
        <v>35708</v>
      </c>
      <c r="B40" s="34" t="s">
        <v>27</v>
      </c>
      <c r="C40" s="27">
        <v>53987.982239999998</v>
      </c>
    </row>
    <row r="41" spans="1:3" hidden="1" x14ac:dyDescent="0.2">
      <c r="A41" s="3">
        <v>35101</v>
      </c>
      <c r="B41" s="34" t="s">
        <v>20</v>
      </c>
      <c r="C41" s="27">
        <v>354667.01183999999</v>
      </c>
    </row>
    <row r="42" spans="1:3" hidden="1" x14ac:dyDescent="0.2">
      <c r="A42" s="3">
        <v>51101</v>
      </c>
      <c r="B42" s="34" t="s">
        <v>26</v>
      </c>
      <c r="C42" s="27">
        <v>381216.08</v>
      </c>
    </row>
    <row r="43" spans="1:3" hidden="1" x14ac:dyDescent="0.2">
      <c r="B43" s="30" t="s">
        <v>12</v>
      </c>
      <c r="C43" s="31">
        <f>SUM(C34:C42)</f>
        <v>1918826.0103200001</v>
      </c>
    </row>
    <row r="44" spans="1:3" hidden="1" x14ac:dyDescent="0.2">
      <c r="B44" s="30"/>
      <c r="C44" s="31"/>
    </row>
    <row r="45" spans="1:3" hidden="1" x14ac:dyDescent="0.2">
      <c r="A45" s="3">
        <v>35101</v>
      </c>
      <c r="B45" s="35" t="s">
        <v>25</v>
      </c>
      <c r="C45" s="36"/>
    </row>
    <row r="46" spans="1:3" hidden="1" x14ac:dyDescent="0.2">
      <c r="A46" s="3">
        <v>35101</v>
      </c>
      <c r="B46" s="35" t="s">
        <v>24</v>
      </c>
      <c r="C46" s="36"/>
    </row>
    <row r="47" spans="1:3" hidden="1" x14ac:dyDescent="0.2">
      <c r="A47" s="3">
        <v>35101</v>
      </c>
      <c r="B47" s="35" t="s">
        <v>23</v>
      </c>
      <c r="C47" s="36"/>
    </row>
    <row r="48" spans="1:3" hidden="1" x14ac:dyDescent="0.2">
      <c r="A48" s="3">
        <v>35706</v>
      </c>
      <c r="B48" s="35" t="s">
        <v>22</v>
      </c>
      <c r="C48" s="36"/>
    </row>
    <row r="49" spans="1:3" hidden="1" x14ac:dyDescent="0.2">
      <c r="A49" s="3">
        <v>35704</v>
      </c>
      <c r="B49" s="35" t="s">
        <v>21</v>
      </c>
      <c r="C49" s="36"/>
    </row>
    <row r="50" spans="1:3" hidden="1" x14ac:dyDescent="0.2">
      <c r="A50" s="3">
        <v>35101</v>
      </c>
      <c r="B50" s="35" t="s">
        <v>20</v>
      </c>
      <c r="C50" s="36"/>
    </row>
    <row r="51" spans="1:3" hidden="1" x14ac:dyDescent="0.2">
      <c r="A51" s="3">
        <v>51101</v>
      </c>
      <c r="B51" s="35" t="s">
        <v>19</v>
      </c>
      <c r="C51" s="36"/>
    </row>
    <row r="52" spans="1:3" hidden="1" x14ac:dyDescent="0.2">
      <c r="B52" s="30" t="s">
        <v>18</v>
      </c>
      <c r="C52" s="31">
        <f>SUM(C45:C51)</f>
        <v>0</v>
      </c>
    </row>
    <row r="53" spans="1:3" hidden="1" x14ac:dyDescent="0.2">
      <c r="B53" s="32"/>
      <c r="C53" s="27"/>
    </row>
    <row r="54" spans="1:3" x14ac:dyDescent="0.2">
      <c r="A54" s="3">
        <v>51101</v>
      </c>
      <c r="B54" s="26" t="s">
        <v>13</v>
      </c>
      <c r="C54" s="27">
        <v>1622760.61</v>
      </c>
    </row>
    <row r="55" spans="1:3" x14ac:dyDescent="0.2">
      <c r="B55" s="30" t="s">
        <v>12</v>
      </c>
      <c r="C55" s="31">
        <f>C54+C32</f>
        <v>63779949.084999993</v>
      </c>
    </row>
    <row r="56" spans="1:3" x14ac:dyDescent="0.2">
      <c r="B56" s="32"/>
      <c r="C56" s="27"/>
    </row>
    <row r="57" spans="1:3" x14ac:dyDescent="0.2">
      <c r="A57" s="8">
        <v>11101</v>
      </c>
      <c r="B57" s="28" t="s">
        <v>10</v>
      </c>
      <c r="C57" s="37">
        <v>3653107.3386666668</v>
      </c>
    </row>
    <row r="58" spans="1:3" x14ac:dyDescent="0.2">
      <c r="A58" s="8">
        <v>11301</v>
      </c>
      <c r="B58" s="28" t="s">
        <v>9</v>
      </c>
      <c r="C58" s="37">
        <v>1350130.9850000001</v>
      </c>
    </row>
    <row r="59" spans="1:3" x14ac:dyDescent="0.2">
      <c r="A59" s="8">
        <v>13202</v>
      </c>
      <c r="B59" s="28" t="s">
        <v>8</v>
      </c>
      <c r="C59" s="37">
        <v>106693.60800000001</v>
      </c>
    </row>
    <row r="60" spans="1:3" x14ac:dyDescent="0.2">
      <c r="A60" s="8">
        <v>13203</v>
      </c>
      <c r="B60" s="28" t="s">
        <v>7</v>
      </c>
      <c r="C60" s="37">
        <v>355645.36</v>
      </c>
    </row>
    <row r="61" spans="1:3" x14ac:dyDescent="0.2">
      <c r="A61" s="8">
        <v>13401</v>
      </c>
      <c r="B61" s="28" t="s">
        <v>6</v>
      </c>
      <c r="C61" s="37">
        <v>711670.30833333335</v>
      </c>
    </row>
    <row r="62" spans="1:3" x14ac:dyDescent="0.2">
      <c r="A62" s="8">
        <v>14101</v>
      </c>
      <c r="B62" s="28" t="s">
        <v>5</v>
      </c>
      <c r="C62" s="37">
        <v>140967.59704000002</v>
      </c>
    </row>
    <row r="63" spans="1:3" x14ac:dyDescent="0.2">
      <c r="A63" s="8">
        <v>15401</v>
      </c>
      <c r="B63" s="28" t="s">
        <v>4</v>
      </c>
      <c r="C63" s="37">
        <v>60258.579999999994</v>
      </c>
    </row>
    <row r="64" spans="1:3" x14ac:dyDescent="0.2">
      <c r="A64" s="8">
        <v>15402</v>
      </c>
      <c r="B64" s="28" t="s">
        <v>3</v>
      </c>
      <c r="C64" s="37">
        <v>41449.399999999994</v>
      </c>
    </row>
    <row r="65" spans="1:4" x14ac:dyDescent="0.2">
      <c r="A65" s="8">
        <v>17101</v>
      </c>
      <c r="B65" s="28" t="s">
        <v>2</v>
      </c>
      <c r="C65" s="37">
        <v>96000</v>
      </c>
    </row>
    <row r="66" spans="1:4" x14ac:dyDescent="0.2">
      <c r="A66" s="76">
        <v>14401</v>
      </c>
      <c r="B66" s="77" t="s">
        <v>113</v>
      </c>
      <c r="C66" s="37">
        <f>12*639.36</f>
        <v>7672.32</v>
      </c>
    </row>
    <row r="67" spans="1:4" x14ac:dyDescent="0.2">
      <c r="A67" s="76">
        <v>14410</v>
      </c>
      <c r="B67" s="80" t="s">
        <v>114</v>
      </c>
      <c r="C67" s="37">
        <f>12638.34*4</f>
        <v>50553.36</v>
      </c>
    </row>
    <row r="68" spans="1:4" ht="25.5" x14ac:dyDescent="0.2">
      <c r="A68" s="76">
        <v>14412</v>
      </c>
      <c r="B68" s="80" t="s">
        <v>115</v>
      </c>
      <c r="C68" s="37">
        <f>30000*4</f>
        <v>120000</v>
      </c>
    </row>
    <row r="69" spans="1:4" ht="25.5" x14ac:dyDescent="0.2">
      <c r="A69" s="76">
        <v>15913</v>
      </c>
      <c r="B69" s="80" t="s">
        <v>87</v>
      </c>
      <c r="C69" s="37">
        <f>40000*4</f>
        <v>160000</v>
      </c>
    </row>
    <row r="70" spans="1:4" x14ac:dyDescent="0.2">
      <c r="B70" s="6" t="s">
        <v>1</v>
      </c>
      <c r="C70" s="31">
        <f>SUM(C57:C69)</f>
        <v>6854148.857040002</v>
      </c>
    </row>
    <row r="72" spans="1:4" x14ac:dyDescent="0.2">
      <c r="B72" s="6" t="s">
        <v>0</v>
      </c>
      <c r="C72" s="4">
        <f>C70+C55+C18</f>
        <v>74569153.172040001</v>
      </c>
      <c r="D72" s="1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U46"/>
  <sheetViews>
    <sheetView workbookViewId="0">
      <selection activeCell="T28" sqref="T28"/>
    </sheetView>
  </sheetViews>
  <sheetFormatPr baseColWidth="10" defaultColWidth="11.42578125" defaultRowHeight="12.75" x14ac:dyDescent="0.2"/>
  <cols>
    <col min="1" max="1" width="13.7109375" style="3" customWidth="1"/>
    <col min="2" max="2" width="45.7109375" style="2" customWidth="1"/>
    <col min="3" max="3" width="18" style="1" customWidth="1"/>
    <col min="4" max="4" width="18.85546875" bestFit="1" customWidth="1"/>
    <col min="5" max="5" width="11.42578125" hidden="1" customWidth="1"/>
    <col min="6" max="6" width="12.85546875" hidden="1" customWidth="1"/>
    <col min="7" max="7" width="11.42578125" hidden="1" customWidth="1"/>
    <col min="8" max="8" width="13.85546875" style="45" hidden="1" customWidth="1"/>
    <col min="9" max="10" width="14.85546875" style="45" hidden="1" customWidth="1"/>
    <col min="11" max="11" width="11.42578125" hidden="1" customWidth="1"/>
    <col min="12" max="12" width="12.85546875" style="1" hidden="1" customWidth="1"/>
    <col min="13" max="13" width="11.42578125" style="1" hidden="1" customWidth="1"/>
    <col min="14" max="14" width="12.85546875" style="1" hidden="1" customWidth="1"/>
    <col min="15" max="16" width="11.42578125" hidden="1" customWidth="1"/>
  </cols>
  <sheetData>
    <row r="2" spans="1:21" x14ac:dyDescent="0.2">
      <c r="A2" s="98" t="s">
        <v>53</v>
      </c>
      <c r="B2" s="98"/>
      <c r="C2" s="98"/>
      <c r="D2" s="98"/>
    </row>
    <row r="3" spans="1:21" x14ac:dyDescent="0.2">
      <c r="A3" s="98" t="s">
        <v>116</v>
      </c>
      <c r="B3" s="98"/>
      <c r="C3" s="98"/>
      <c r="D3" s="98"/>
    </row>
    <row r="4" spans="1:21" x14ac:dyDescent="0.2">
      <c r="B4" s="32"/>
      <c r="C4" s="27"/>
      <c r="L4" s="13">
        <v>41715.17</v>
      </c>
    </row>
    <row r="5" spans="1:21" x14ac:dyDescent="0.2">
      <c r="A5" s="8">
        <v>11101</v>
      </c>
      <c r="B5" s="28" t="s">
        <v>10</v>
      </c>
      <c r="C5" s="37">
        <v>6392937.842666667</v>
      </c>
      <c r="D5" s="1"/>
      <c r="L5" s="4">
        <f>SUM(L4:L4)</f>
        <v>41715.17</v>
      </c>
    </row>
    <row r="6" spans="1:21" x14ac:dyDescent="0.2">
      <c r="A6" s="8">
        <v>11301</v>
      </c>
      <c r="B6" s="28" t="s">
        <v>9</v>
      </c>
      <c r="C6" s="37">
        <v>4442044.4033333333</v>
      </c>
    </row>
    <row r="7" spans="1:21" x14ac:dyDescent="0.2">
      <c r="A7" s="8">
        <v>13202</v>
      </c>
      <c r="B7" s="28" t="s">
        <v>8</v>
      </c>
      <c r="C7" s="37">
        <v>413348.51999999996</v>
      </c>
    </row>
    <row r="8" spans="1:21" x14ac:dyDescent="0.2">
      <c r="A8" s="8">
        <v>13203</v>
      </c>
      <c r="B8" s="28" t="s">
        <v>7</v>
      </c>
      <c r="C8" s="37">
        <v>1377828.4000000004</v>
      </c>
      <c r="L8" s="1">
        <v>340630.52</v>
      </c>
    </row>
    <row r="9" spans="1:21" x14ac:dyDescent="0.2">
      <c r="A9" s="8">
        <v>13401</v>
      </c>
      <c r="B9" s="28" t="s">
        <v>6</v>
      </c>
      <c r="C9" s="37">
        <v>3607041.0816666656</v>
      </c>
      <c r="L9" s="1">
        <v>1014930.37</v>
      </c>
    </row>
    <row r="10" spans="1:21" x14ac:dyDescent="0.2">
      <c r="A10" s="8">
        <v>14101</v>
      </c>
      <c r="B10" s="28" t="s">
        <v>5</v>
      </c>
      <c r="C10" s="37">
        <v>463608.44269333337</v>
      </c>
      <c r="L10" s="1">
        <f>SUM(L8:L9)</f>
        <v>1355560.8900000001</v>
      </c>
    </row>
    <row r="11" spans="1:21" x14ac:dyDescent="0.2">
      <c r="A11" s="8">
        <v>15401</v>
      </c>
      <c r="B11" s="28" t="s">
        <v>4</v>
      </c>
      <c r="C11" s="37">
        <v>197993.39833333349</v>
      </c>
    </row>
    <row r="12" spans="1:21" s="1" customFormat="1" x14ac:dyDescent="0.2">
      <c r="A12" s="8">
        <v>15402</v>
      </c>
      <c r="B12" s="28" t="s">
        <v>3</v>
      </c>
      <c r="C12" s="37">
        <v>134710.55000000005</v>
      </c>
      <c r="D12"/>
      <c r="E12"/>
      <c r="F12"/>
      <c r="G12"/>
      <c r="H12" s="45"/>
      <c r="I12" s="45"/>
      <c r="J12" s="45"/>
      <c r="K12"/>
      <c r="O12"/>
      <c r="P12"/>
      <c r="Q12"/>
      <c r="R12"/>
      <c r="S12"/>
      <c r="T12"/>
      <c r="U12"/>
    </row>
    <row r="13" spans="1:21" s="1" customFormat="1" x14ac:dyDescent="0.2">
      <c r="A13" s="8">
        <v>17101</v>
      </c>
      <c r="B13" s="28" t="s">
        <v>2</v>
      </c>
      <c r="C13" s="37">
        <v>316800</v>
      </c>
      <c r="D13"/>
      <c r="E13"/>
      <c r="F13"/>
      <c r="G13"/>
      <c r="H13" s="45"/>
      <c r="I13" s="45"/>
      <c r="J13" s="45"/>
      <c r="K13"/>
      <c r="O13"/>
      <c r="P13"/>
      <c r="Q13"/>
      <c r="R13"/>
      <c r="S13"/>
      <c r="T13"/>
      <c r="U13"/>
    </row>
    <row r="14" spans="1:21" s="1" customFormat="1" x14ac:dyDescent="0.2">
      <c r="A14" s="8">
        <v>14401</v>
      </c>
      <c r="B14" s="28" t="s">
        <v>113</v>
      </c>
      <c r="C14" s="37">
        <f>39*639.36</f>
        <v>24935.040000000001</v>
      </c>
      <c r="D14"/>
      <c r="E14"/>
      <c r="F14"/>
      <c r="G14"/>
      <c r="H14" s="45"/>
      <c r="I14" s="45"/>
      <c r="J14" s="45"/>
      <c r="K14"/>
      <c r="O14"/>
      <c r="P14"/>
      <c r="Q14"/>
      <c r="R14"/>
      <c r="S14"/>
      <c r="T14"/>
      <c r="U14"/>
    </row>
    <row r="15" spans="1:21" s="1" customFormat="1" x14ac:dyDescent="0.2">
      <c r="A15" s="8">
        <v>14410</v>
      </c>
      <c r="B15" s="28" t="s">
        <v>114</v>
      </c>
      <c r="C15" s="37">
        <f>12638.34*7</f>
        <v>88468.38</v>
      </c>
      <c r="D15"/>
      <c r="E15"/>
      <c r="F15"/>
      <c r="G15"/>
      <c r="H15" s="45"/>
      <c r="I15" s="45"/>
      <c r="J15" s="45"/>
      <c r="K15"/>
      <c r="O15"/>
      <c r="P15"/>
      <c r="Q15"/>
      <c r="R15"/>
      <c r="S15"/>
      <c r="T15"/>
      <c r="U15"/>
    </row>
    <row r="16" spans="1:21" s="1" customFormat="1" x14ac:dyDescent="0.2">
      <c r="A16" s="8">
        <v>14412</v>
      </c>
      <c r="B16" s="28" t="s">
        <v>115</v>
      </c>
      <c r="C16" s="37">
        <f>30000*7</f>
        <v>210000</v>
      </c>
      <c r="D16"/>
      <c r="E16"/>
      <c r="F16"/>
      <c r="G16"/>
      <c r="H16" s="45"/>
      <c r="I16" s="45"/>
      <c r="J16" s="45"/>
      <c r="K16"/>
      <c r="O16"/>
      <c r="P16"/>
      <c r="Q16"/>
      <c r="R16"/>
      <c r="S16"/>
      <c r="T16"/>
      <c r="U16"/>
    </row>
    <row r="17" spans="1:21" s="1" customFormat="1" x14ac:dyDescent="0.2">
      <c r="A17" s="82">
        <v>15913</v>
      </c>
      <c r="B17" s="1" t="s">
        <v>87</v>
      </c>
      <c r="C17" s="1">
        <f>40000*7</f>
        <v>280000</v>
      </c>
      <c r="D17"/>
      <c r="E17"/>
      <c r="F17"/>
      <c r="G17"/>
      <c r="H17" s="45"/>
      <c r="I17" s="45"/>
      <c r="J17" s="45"/>
      <c r="K17"/>
      <c r="O17"/>
      <c r="P17"/>
      <c r="Q17"/>
      <c r="R17"/>
      <c r="S17"/>
      <c r="T17"/>
      <c r="U17"/>
    </row>
    <row r="18" spans="1:21" s="1" customFormat="1" x14ac:dyDescent="0.2">
      <c r="A18" s="3"/>
      <c r="B18" s="6" t="s">
        <v>1</v>
      </c>
      <c r="C18" s="31">
        <f>SUM(C5:C17)</f>
        <v>17949716.058693331</v>
      </c>
      <c r="D18"/>
      <c r="E18"/>
      <c r="F18"/>
      <c r="G18"/>
      <c r="H18" s="45"/>
      <c r="I18" s="45"/>
      <c r="J18" s="45"/>
      <c r="K18"/>
      <c r="O18"/>
      <c r="P18"/>
      <c r="Q18"/>
      <c r="R18"/>
      <c r="S18"/>
      <c r="T18"/>
      <c r="U18"/>
    </row>
    <row r="20" spans="1:21" s="1" customFormat="1" x14ac:dyDescent="0.2">
      <c r="A20" s="3">
        <v>51501</v>
      </c>
      <c r="B20" s="2" t="s">
        <v>78</v>
      </c>
      <c r="C20" s="1">
        <v>17111601.509999998</v>
      </c>
      <c r="D20"/>
      <c r="E20"/>
      <c r="F20"/>
      <c r="G20"/>
      <c r="H20" s="45"/>
      <c r="I20" s="45"/>
      <c r="J20" s="45"/>
      <c r="K20"/>
      <c r="O20"/>
      <c r="P20"/>
      <c r="Q20"/>
      <c r="R20"/>
      <c r="S20"/>
      <c r="T20"/>
      <c r="U20"/>
    </row>
    <row r="21" spans="1:21" s="1" customFormat="1" x14ac:dyDescent="0.2">
      <c r="A21" s="3">
        <v>52301</v>
      </c>
      <c r="B21" s="2" t="s">
        <v>120</v>
      </c>
      <c r="C21" s="1">
        <v>284187.82</v>
      </c>
      <c r="D21"/>
      <c r="E21"/>
      <c r="F21"/>
      <c r="G21"/>
      <c r="H21" s="45"/>
      <c r="I21" s="45"/>
      <c r="J21" s="45"/>
      <c r="K21"/>
      <c r="O21"/>
      <c r="P21"/>
      <c r="Q21"/>
      <c r="R21"/>
      <c r="S21"/>
      <c r="T21"/>
      <c r="U21"/>
    </row>
    <row r="22" spans="1:21" s="1" customFormat="1" ht="25.5" x14ac:dyDescent="0.2">
      <c r="A22" s="3">
        <v>35301</v>
      </c>
      <c r="B22" s="2" t="s">
        <v>121</v>
      </c>
      <c r="C22" s="1">
        <v>2675521.8000000003</v>
      </c>
      <c r="D22"/>
      <c r="E22"/>
      <c r="F22"/>
      <c r="G22"/>
      <c r="H22" s="45"/>
      <c r="I22" s="45"/>
      <c r="J22" s="45"/>
      <c r="K22"/>
      <c r="O22"/>
      <c r="P22"/>
      <c r="Q22"/>
      <c r="R22"/>
      <c r="S22"/>
      <c r="T22"/>
      <c r="U22"/>
    </row>
    <row r="23" spans="1:21" s="1" customFormat="1" ht="25.5" x14ac:dyDescent="0.2">
      <c r="A23" s="3">
        <v>56601</v>
      </c>
      <c r="B23" s="2" t="s">
        <v>122</v>
      </c>
      <c r="C23" s="1">
        <v>829727.70000000007</v>
      </c>
      <c r="D23"/>
      <c r="E23"/>
      <c r="F23"/>
      <c r="G23"/>
      <c r="H23" s="45"/>
      <c r="I23" s="45"/>
      <c r="J23" s="45"/>
      <c r="K23"/>
      <c r="O23"/>
      <c r="P23"/>
      <c r="Q23"/>
      <c r="R23"/>
      <c r="S23"/>
      <c r="T23"/>
      <c r="U23"/>
    </row>
    <row r="24" spans="1:21" s="1" customFormat="1" ht="25.5" x14ac:dyDescent="0.2">
      <c r="A24" s="3">
        <v>29401</v>
      </c>
      <c r="B24" s="32" t="s">
        <v>117</v>
      </c>
      <c r="C24" s="1">
        <v>582233.66</v>
      </c>
      <c r="D24"/>
      <c r="E24"/>
      <c r="F24"/>
      <c r="G24"/>
      <c r="H24" s="45"/>
      <c r="I24" s="45"/>
      <c r="J24" s="45"/>
      <c r="K24"/>
      <c r="O24"/>
      <c r="P24"/>
      <c r="Q24"/>
      <c r="R24"/>
      <c r="S24"/>
      <c r="T24"/>
      <c r="U24"/>
    </row>
    <row r="25" spans="1:21" s="1" customFormat="1" x14ac:dyDescent="0.2">
      <c r="A25" s="3">
        <v>24601</v>
      </c>
      <c r="B25" s="32" t="s">
        <v>118</v>
      </c>
      <c r="C25" s="1">
        <v>99173.04</v>
      </c>
      <c r="D25"/>
      <c r="E25"/>
      <c r="F25"/>
      <c r="G25"/>
      <c r="H25" s="45"/>
      <c r="I25" s="45"/>
      <c r="J25" s="45"/>
      <c r="K25"/>
      <c r="O25"/>
      <c r="P25"/>
      <c r="Q25"/>
      <c r="R25"/>
      <c r="S25"/>
      <c r="T25"/>
      <c r="U25"/>
    </row>
    <row r="26" spans="1:21" s="1" customFormat="1" x14ac:dyDescent="0.2">
      <c r="A26" s="3">
        <v>32701</v>
      </c>
      <c r="B26" s="2" t="s">
        <v>79</v>
      </c>
      <c r="C26" s="1">
        <v>5162165.82</v>
      </c>
      <c r="D26"/>
      <c r="E26"/>
      <c r="F26"/>
      <c r="G26"/>
      <c r="H26" s="45"/>
      <c r="I26" s="45"/>
      <c r="J26" s="45"/>
      <c r="K26"/>
      <c r="O26"/>
      <c r="P26"/>
      <c r="Q26"/>
      <c r="R26"/>
      <c r="S26"/>
      <c r="T26"/>
      <c r="U26"/>
    </row>
    <row r="27" spans="1:21" s="1" customFormat="1" x14ac:dyDescent="0.2">
      <c r="A27" s="3">
        <v>51503</v>
      </c>
      <c r="B27" s="2" t="s">
        <v>32</v>
      </c>
      <c r="C27" s="1">
        <v>3982554.52</v>
      </c>
      <c r="D27"/>
      <c r="E27"/>
      <c r="F27"/>
      <c r="G27"/>
      <c r="H27" s="45"/>
      <c r="I27" s="45"/>
      <c r="J27" s="45"/>
      <c r="K27"/>
      <c r="O27"/>
      <c r="P27"/>
      <c r="Q27"/>
      <c r="R27"/>
      <c r="S27"/>
      <c r="T27"/>
      <c r="U27"/>
    </row>
    <row r="28" spans="1:21" x14ac:dyDescent="0.2">
      <c r="A28" s="3">
        <v>56501</v>
      </c>
      <c r="B28" s="2" t="s">
        <v>63</v>
      </c>
      <c r="C28" s="1">
        <v>2129552.37</v>
      </c>
    </row>
    <row r="29" spans="1:21" x14ac:dyDescent="0.2">
      <c r="A29" s="3">
        <v>51901</v>
      </c>
      <c r="B29" s="32" t="s">
        <v>119</v>
      </c>
      <c r="C29" s="1">
        <v>12585682</v>
      </c>
      <c r="F29" s="1" t="e">
        <f>89926857.11-#REF!</f>
        <v>#REF!</v>
      </c>
    </row>
    <row r="30" spans="1:21" x14ac:dyDescent="0.2">
      <c r="A30" s="3">
        <v>52101</v>
      </c>
      <c r="B30" s="2" t="s">
        <v>123</v>
      </c>
      <c r="C30" s="1">
        <v>4366301.28</v>
      </c>
    </row>
    <row r="31" spans="1:21" x14ac:dyDescent="0.2">
      <c r="A31" s="3">
        <v>59101</v>
      </c>
      <c r="B31" s="2" t="s">
        <v>80</v>
      </c>
      <c r="C31" s="1">
        <f>901533.72+358800</f>
        <v>1260333.72</v>
      </c>
      <c r="H31" s="45">
        <v>124352.55</v>
      </c>
      <c r="I31" s="45">
        <v>2372263.94</v>
      </c>
      <c r="J31" s="45">
        <f>((32775+10120+38985+8050+14490+85100)*1.625)*8</f>
        <v>2463760</v>
      </c>
    </row>
    <row r="32" spans="1:21" x14ac:dyDescent="0.2">
      <c r="B32" s="6" t="s">
        <v>124</v>
      </c>
      <c r="C32" s="4">
        <v>51069035.239999995</v>
      </c>
      <c r="H32" s="45">
        <v>42768.21</v>
      </c>
      <c r="I32" s="45">
        <v>732471.73</v>
      </c>
      <c r="J32" s="45">
        <v>1820393.72</v>
      </c>
    </row>
    <row r="33" spans="1:21" hidden="1" x14ac:dyDescent="0.2">
      <c r="H33" s="45">
        <v>820877.83</v>
      </c>
      <c r="I33" s="45">
        <v>1575655.83</v>
      </c>
      <c r="J33" s="45">
        <v>839379.68</v>
      </c>
    </row>
    <row r="34" spans="1:21" hidden="1" x14ac:dyDescent="0.2">
      <c r="H34" s="45">
        <v>77192.39</v>
      </c>
      <c r="I34" s="45">
        <v>1012357.26</v>
      </c>
      <c r="J34" s="45">
        <v>1233403.56</v>
      </c>
    </row>
    <row r="35" spans="1:21" hidden="1" x14ac:dyDescent="0.2">
      <c r="B35" s="26"/>
      <c r="H35" s="45">
        <v>187390.73</v>
      </c>
      <c r="I35" s="45">
        <v>663675.06999999995</v>
      </c>
      <c r="J35" s="45">
        <v>9956.59</v>
      </c>
    </row>
    <row r="36" spans="1:21" hidden="1" x14ac:dyDescent="0.2">
      <c r="B36" s="26"/>
      <c r="H36" s="45">
        <v>1894513.54</v>
      </c>
      <c r="I36" s="45">
        <v>1327350.1399999999</v>
      </c>
      <c r="J36" s="47">
        <f>(5750+20700+7475)*2</f>
        <v>67850</v>
      </c>
    </row>
    <row r="37" spans="1:21" hidden="1" x14ac:dyDescent="0.2">
      <c r="B37" s="26"/>
      <c r="H37" s="45">
        <v>558650.03</v>
      </c>
      <c r="I37" s="45">
        <v>1230401.98</v>
      </c>
      <c r="J37" s="47">
        <v>2321794.5299999998</v>
      </c>
    </row>
    <row r="38" spans="1:21" hidden="1" x14ac:dyDescent="0.2">
      <c r="B38" s="26"/>
      <c r="H38" s="45">
        <f>(87400*1.625)*8</f>
        <v>1136200</v>
      </c>
      <c r="I38" s="45">
        <v>2049145.58</v>
      </c>
      <c r="J38" s="46">
        <f>SUM(J31:J37)</f>
        <v>8756538.0799999982</v>
      </c>
    </row>
    <row r="39" spans="1:21" s="45" customFormat="1" hidden="1" x14ac:dyDescent="0.2">
      <c r="A39" s="3"/>
      <c r="B39" s="26"/>
      <c r="C39" s="1"/>
      <c r="D39"/>
      <c r="E39"/>
      <c r="F39"/>
      <c r="G39"/>
      <c r="H39" s="45">
        <f>(87400*1.625)*8</f>
        <v>1136200</v>
      </c>
      <c r="I39" s="47">
        <f>(17871*1.625)*8</f>
        <v>232323</v>
      </c>
      <c r="M39" s="1"/>
      <c r="N39" s="13">
        <v>81358</v>
      </c>
    </row>
    <row r="40" spans="1:21" x14ac:dyDescent="0.2">
      <c r="L40" s="13">
        <v>87542</v>
      </c>
    </row>
    <row r="41" spans="1:21" x14ac:dyDescent="0.2">
      <c r="B41" s="6" t="s">
        <v>125</v>
      </c>
      <c r="C41" s="4">
        <f>C18+C32</f>
        <v>69018751.298693329</v>
      </c>
      <c r="D41" s="55"/>
      <c r="L41" s="13">
        <v>9952</v>
      </c>
    </row>
    <row r="42" spans="1:21" x14ac:dyDescent="0.2">
      <c r="B42" s="6"/>
      <c r="C42" s="4"/>
      <c r="D42" s="55"/>
      <c r="L42" s="13"/>
    </row>
    <row r="43" spans="1:21" x14ac:dyDescent="0.2">
      <c r="L43" s="13">
        <v>17585</v>
      </c>
    </row>
    <row r="44" spans="1:21" x14ac:dyDescent="0.2">
      <c r="L44" s="13">
        <v>11595.36</v>
      </c>
    </row>
    <row r="45" spans="1:21" s="1" customFormat="1" x14ac:dyDescent="0.2">
      <c r="A45" s="3"/>
      <c r="B45" s="2"/>
      <c r="D45"/>
      <c r="E45"/>
      <c r="F45"/>
      <c r="G45"/>
      <c r="H45" s="45"/>
      <c r="I45" s="45"/>
      <c r="J45" s="45"/>
      <c r="K45"/>
      <c r="L45" s="13">
        <v>8290</v>
      </c>
      <c r="O45"/>
      <c r="P45"/>
      <c r="Q45"/>
      <c r="R45"/>
      <c r="S45"/>
      <c r="T45"/>
      <c r="U45"/>
    </row>
    <row r="46" spans="1:21" s="1" customFormat="1" x14ac:dyDescent="0.2">
      <c r="A46" s="3"/>
      <c r="B46" s="2"/>
      <c r="D46"/>
      <c r="E46"/>
      <c r="F46"/>
      <c r="G46"/>
      <c r="H46" s="45"/>
      <c r="I46" s="45"/>
      <c r="J46" s="45"/>
      <c r="K46"/>
      <c r="L46" s="4">
        <f>SUM(L40:L45)</f>
        <v>134964.35999999999</v>
      </c>
      <c r="O46"/>
      <c r="P46"/>
      <c r="Q46"/>
      <c r="R46"/>
      <c r="S46"/>
      <c r="T46"/>
      <c r="U46"/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77"/>
  <sheetViews>
    <sheetView workbookViewId="0">
      <selection activeCell="H72" sqref="H72"/>
    </sheetView>
  </sheetViews>
  <sheetFormatPr baseColWidth="10" defaultColWidth="11.42578125" defaultRowHeight="12.75" x14ac:dyDescent="0.2"/>
  <cols>
    <col min="1" max="1" width="13.7109375" style="3" customWidth="1"/>
    <col min="2" max="2" width="45.7109375" style="2" customWidth="1"/>
    <col min="3" max="3" width="18" style="1" customWidth="1"/>
    <col min="4" max="4" width="11.42578125" customWidth="1"/>
  </cols>
  <sheetData>
    <row r="2" spans="1:5" x14ac:dyDescent="0.2">
      <c r="A2" s="98" t="s">
        <v>53</v>
      </c>
      <c r="B2" s="98"/>
      <c r="C2" s="98"/>
      <c r="D2" s="98"/>
    </row>
    <row r="3" spans="1:5" x14ac:dyDescent="0.2">
      <c r="A3" s="98" t="s">
        <v>69</v>
      </c>
      <c r="B3" s="98"/>
      <c r="C3" s="98"/>
      <c r="D3" s="98"/>
    </row>
    <row r="4" spans="1:5" x14ac:dyDescent="0.2">
      <c r="A4" s="20"/>
      <c r="B4" s="18"/>
      <c r="C4" s="18"/>
      <c r="D4" s="18"/>
    </row>
    <row r="5" spans="1:5" x14ac:dyDescent="0.2">
      <c r="A5" s="41"/>
      <c r="B5" s="32"/>
      <c r="C5" s="27"/>
      <c r="D5" s="28"/>
      <c r="E5" s="28"/>
    </row>
    <row r="6" spans="1:5" x14ac:dyDescent="0.2">
      <c r="A6" s="41">
        <v>56500</v>
      </c>
      <c r="B6" s="32" t="s">
        <v>63</v>
      </c>
      <c r="C6" s="27">
        <v>171695</v>
      </c>
      <c r="D6" s="28"/>
      <c r="E6" s="28"/>
    </row>
    <row r="7" spans="1:5" x14ac:dyDescent="0.2">
      <c r="A7" s="41">
        <v>54101</v>
      </c>
      <c r="B7" s="32" t="s">
        <v>62</v>
      </c>
      <c r="C7" s="27">
        <v>2864139.3</v>
      </c>
      <c r="D7" s="28"/>
      <c r="E7" s="28"/>
    </row>
    <row r="8" spans="1:5" s="28" customFormat="1" x14ac:dyDescent="0.2">
      <c r="A8" s="41">
        <v>51501</v>
      </c>
      <c r="B8" s="33" t="s">
        <v>41</v>
      </c>
      <c r="C8" s="27">
        <v>655912.65</v>
      </c>
    </row>
    <row r="9" spans="1:5" s="28" customFormat="1" x14ac:dyDescent="0.2">
      <c r="A9" s="41">
        <v>51502</v>
      </c>
      <c r="B9" s="33" t="s">
        <v>40</v>
      </c>
      <c r="C9" s="27">
        <v>42373.599999999999</v>
      </c>
    </row>
    <row r="10" spans="1:5" s="28" customFormat="1" x14ac:dyDescent="0.2">
      <c r="A10" s="41">
        <v>24601</v>
      </c>
      <c r="B10" s="33" t="s">
        <v>39</v>
      </c>
      <c r="C10" s="27">
        <v>5800</v>
      </c>
    </row>
    <row r="11" spans="1:5" s="28" customFormat="1" x14ac:dyDescent="0.2">
      <c r="A11" s="41">
        <v>56601</v>
      </c>
      <c r="B11" s="33" t="s">
        <v>38</v>
      </c>
      <c r="C11" s="27">
        <v>7395.95</v>
      </c>
    </row>
    <row r="12" spans="1:5" s="28" customFormat="1" x14ac:dyDescent="0.2">
      <c r="A12" s="41">
        <v>56501</v>
      </c>
      <c r="B12" s="33" t="s">
        <v>37</v>
      </c>
      <c r="C12" s="27">
        <f>36939.1+28000+52450</f>
        <v>117389.1</v>
      </c>
    </row>
    <row r="13" spans="1:5" s="28" customFormat="1" x14ac:dyDescent="0.2">
      <c r="A13" s="41">
        <v>56502</v>
      </c>
      <c r="B13" s="33" t="s">
        <v>65</v>
      </c>
      <c r="C13" s="27">
        <v>5245</v>
      </c>
    </row>
    <row r="14" spans="1:5" s="28" customFormat="1" x14ac:dyDescent="0.2">
      <c r="A14" s="41">
        <v>51901</v>
      </c>
      <c r="B14" s="33" t="s">
        <v>64</v>
      </c>
      <c r="C14" s="27">
        <f>56000+15600</f>
        <v>71600</v>
      </c>
    </row>
    <row r="15" spans="1:5" s="28" customFormat="1" x14ac:dyDescent="0.2">
      <c r="A15" s="41">
        <v>31401</v>
      </c>
      <c r="B15" s="33" t="s">
        <v>68</v>
      </c>
      <c r="C15" s="27">
        <v>1200</v>
      </c>
    </row>
    <row r="16" spans="1:5" s="28" customFormat="1" x14ac:dyDescent="0.2">
      <c r="A16" s="41">
        <v>29401</v>
      </c>
      <c r="B16" s="33" t="s">
        <v>36</v>
      </c>
      <c r="C16" s="27">
        <v>42318.11</v>
      </c>
    </row>
    <row r="17" spans="1:5" x14ac:dyDescent="0.2">
      <c r="A17" s="41"/>
      <c r="B17" s="30" t="s">
        <v>33</v>
      </c>
      <c r="C17" s="31">
        <f>SUM(C6:C16)</f>
        <v>3985068.71</v>
      </c>
      <c r="D17" s="28"/>
      <c r="E17" s="28"/>
    </row>
    <row r="18" spans="1:5" x14ac:dyDescent="0.2">
      <c r="A18" s="41"/>
      <c r="B18" s="32"/>
      <c r="C18" s="27"/>
      <c r="D18" s="28"/>
      <c r="E18" s="28"/>
    </row>
    <row r="19" spans="1:5" hidden="1" x14ac:dyDescent="0.2">
      <c r="A19" s="41">
        <v>35101</v>
      </c>
      <c r="B19" s="34" t="s">
        <v>30</v>
      </c>
      <c r="C19" s="27">
        <v>73551.045839999992</v>
      </c>
      <c r="D19" s="28"/>
      <c r="E19" s="28"/>
    </row>
    <row r="20" spans="1:5" hidden="1" x14ac:dyDescent="0.2">
      <c r="A20" s="41">
        <v>35101</v>
      </c>
      <c r="B20" s="34" t="s">
        <v>24</v>
      </c>
      <c r="C20" s="27">
        <v>234877.03199999998</v>
      </c>
      <c r="D20" s="28"/>
      <c r="E20" s="28"/>
    </row>
    <row r="21" spans="1:5" hidden="1" x14ac:dyDescent="0.2">
      <c r="A21" s="41">
        <v>35101</v>
      </c>
      <c r="B21" s="34" t="s">
        <v>29</v>
      </c>
      <c r="C21" s="27">
        <v>454755.22919999994</v>
      </c>
      <c r="D21" s="28"/>
      <c r="E21" s="28"/>
    </row>
    <row r="22" spans="1:5" hidden="1" x14ac:dyDescent="0.2">
      <c r="A22" s="41">
        <v>35101</v>
      </c>
      <c r="B22" s="34" t="s">
        <v>28</v>
      </c>
      <c r="C22" s="27">
        <v>22968</v>
      </c>
      <c r="D22" s="28"/>
      <c r="E22" s="28"/>
    </row>
    <row r="23" spans="1:5" hidden="1" x14ac:dyDescent="0.2">
      <c r="A23" s="41">
        <v>35706</v>
      </c>
      <c r="B23" s="34" t="s">
        <v>22</v>
      </c>
      <c r="C23" s="27">
        <v>257822.02919999999</v>
      </c>
      <c r="D23" s="28"/>
      <c r="E23" s="28"/>
    </row>
    <row r="24" spans="1:5" hidden="1" x14ac:dyDescent="0.2">
      <c r="A24" s="41">
        <v>35704</v>
      </c>
      <c r="B24" s="34" t="s">
        <v>21</v>
      </c>
      <c r="C24" s="27">
        <v>84981.599999999991</v>
      </c>
      <c r="D24" s="28"/>
      <c r="E24" s="28"/>
    </row>
    <row r="25" spans="1:5" hidden="1" x14ac:dyDescent="0.2">
      <c r="A25" s="41">
        <v>35708</v>
      </c>
      <c r="B25" s="34" t="s">
        <v>27</v>
      </c>
      <c r="C25" s="27">
        <v>53987.982239999998</v>
      </c>
      <c r="D25" s="28"/>
      <c r="E25" s="28"/>
    </row>
    <row r="26" spans="1:5" hidden="1" x14ac:dyDescent="0.2">
      <c r="A26" s="41">
        <v>35101</v>
      </c>
      <c r="B26" s="34" t="s">
        <v>20</v>
      </c>
      <c r="C26" s="27">
        <v>354667.01183999999</v>
      </c>
      <c r="D26" s="28"/>
      <c r="E26" s="28"/>
    </row>
    <row r="27" spans="1:5" hidden="1" x14ac:dyDescent="0.2">
      <c r="A27" s="41">
        <v>51101</v>
      </c>
      <c r="B27" s="34" t="s">
        <v>26</v>
      </c>
      <c r="C27" s="27">
        <v>381216.08</v>
      </c>
      <c r="D27" s="28"/>
      <c r="E27" s="28"/>
    </row>
    <row r="28" spans="1:5" hidden="1" x14ac:dyDescent="0.2">
      <c r="A28" s="41"/>
      <c r="B28" s="30" t="s">
        <v>12</v>
      </c>
      <c r="C28" s="31">
        <f>SUM(C19:C27)</f>
        <v>1918826.0103200001</v>
      </c>
      <c r="D28" s="28"/>
      <c r="E28" s="28"/>
    </row>
    <row r="29" spans="1:5" hidden="1" x14ac:dyDescent="0.2">
      <c r="A29" s="41"/>
      <c r="B29" s="30"/>
      <c r="C29" s="31"/>
      <c r="D29" s="28"/>
      <c r="E29" s="28"/>
    </row>
    <row r="30" spans="1:5" hidden="1" x14ac:dyDescent="0.2">
      <c r="A30" s="41">
        <v>35101</v>
      </c>
      <c r="B30" s="35" t="s">
        <v>25</v>
      </c>
      <c r="C30" s="36"/>
      <c r="D30" s="28"/>
      <c r="E30" s="28"/>
    </row>
    <row r="31" spans="1:5" hidden="1" x14ac:dyDescent="0.2">
      <c r="A31" s="41">
        <v>35101</v>
      </c>
      <c r="B31" s="35" t="s">
        <v>24</v>
      </c>
      <c r="C31" s="36"/>
      <c r="D31" s="28"/>
      <c r="E31" s="28"/>
    </row>
    <row r="32" spans="1:5" hidden="1" x14ac:dyDescent="0.2">
      <c r="A32" s="41">
        <v>35101</v>
      </c>
      <c r="B32" s="35" t="s">
        <v>23</v>
      </c>
      <c r="C32" s="36"/>
      <c r="D32" s="28"/>
      <c r="E32" s="28"/>
    </row>
    <row r="33" spans="1:5" hidden="1" x14ac:dyDescent="0.2">
      <c r="A33" s="41">
        <v>35706</v>
      </c>
      <c r="B33" s="35" t="s">
        <v>22</v>
      </c>
      <c r="C33" s="36"/>
      <c r="D33" s="28"/>
      <c r="E33" s="28"/>
    </row>
    <row r="34" spans="1:5" hidden="1" x14ac:dyDescent="0.2">
      <c r="A34" s="41">
        <v>35704</v>
      </c>
      <c r="B34" s="35" t="s">
        <v>21</v>
      </c>
      <c r="C34" s="36"/>
      <c r="D34" s="28"/>
      <c r="E34" s="28"/>
    </row>
    <row r="35" spans="1:5" hidden="1" x14ac:dyDescent="0.2">
      <c r="A35" s="41">
        <v>35101</v>
      </c>
      <c r="B35" s="35" t="s">
        <v>20</v>
      </c>
      <c r="C35" s="36"/>
      <c r="D35" s="28"/>
      <c r="E35" s="28"/>
    </row>
    <row r="36" spans="1:5" hidden="1" x14ac:dyDescent="0.2">
      <c r="A36" s="41">
        <v>51101</v>
      </c>
      <c r="B36" s="35" t="s">
        <v>19</v>
      </c>
      <c r="C36" s="36"/>
      <c r="D36" s="28"/>
      <c r="E36" s="28"/>
    </row>
    <row r="37" spans="1:5" hidden="1" x14ac:dyDescent="0.2">
      <c r="A37" s="41"/>
      <c r="B37" s="30" t="s">
        <v>18</v>
      </c>
      <c r="C37" s="31">
        <f>SUM(C30:C36)</f>
        <v>0</v>
      </c>
      <c r="D37" s="28"/>
      <c r="E37" s="28"/>
    </row>
    <row r="38" spans="1:5" hidden="1" x14ac:dyDescent="0.2">
      <c r="A38" s="41"/>
      <c r="B38" s="32"/>
      <c r="C38" s="27"/>
      <c r="D38" s="28"/>
      <c r="E38" s="28"/>
    </row>
    <row r="39" spans="1:5" x14ac:dyDescent="0.2">
      <c r="A39" s="41">
        <v>35401</v>
      </c>
      <c r="B39" s="26" t="s">
        <v>66</v>
      </c>
      <c r="C39" s="27">
        <v>1554800</v>
      </c>
      <c r="D39" s="28"/>
      <c r="E39" s="28"/>
    </row>
    <row r="40" spans="1:5" x14ac:dyDescent="0.2">
      <c r="A40" s="41">
        <v>35704</v>
      </c>
      <c r="B40" s="26" t="s">
        <v>67</v>
      </c>
      <c r="C40" s="27">
        <v>883012.42</v>
      </c>
      <c r="D40" s="28"/>
      <c r="E40" s="28"/>
    </row>
    <row r="41" spans="1:5" x14ac:dyDescent="0.2">
      <c r="A41" s="41">
        <v>53101</v>
      </c>
      <c r="B41" s="26" t="s">
        <v>61</v>
      </c>
      <c r="C41" s="27">
        <f>203580+782069.91</f>
        <v>985649.91</v>
      </c>
      <c r="D41" s="28"/>
      <c r="E41" s="28"/>
    </row>
    <row r="42" spans="1:5" x14ac:dyDescent="0.2">
      <c r="A42" s="41"/>
      <c r="B42" s="30" t="s">
        <v>12</v>
      </c>
      <c r="C42" s="31">
        <f>SUM(C39:C41)</f>
        <v>3423462.33</v>
      </c>
      <c r="D42" s="28"/>
      <c r="E42" s="28"/>
    </row>
    <row r="43" spans="1:5" x14ac:dyDescent="0.2">
      <c r="A43" s="41"/>
      <c r="B43" s="32"/>
      <c r="C43" s="27"/>
      <c r="D43" s="28"/>
      <c r="E43" s="28"/>
    </row>
    <row r="44" spans="1:5" hidden="1" x14ac:dyDescent="0.2">
      <c r="A44" s="41"/>
      <c r="B44" s="32" t="s">
        <v>70</v>
      </c>
      <c r="C44" s="27"/>
      <c r="D44" s="28"/>
      <c r="E44" s="28"/>
    </row>
    <row r="45" spans="1:5" hidden="1" x14ac:dyDescent="0.2">
      <c r="A45" s="42">
        <v>11301</v>
      </c>
      <c r="B45" s="28" t="s">
        <v>9</v>
      </c>
      <c r="C45" s="37">
        <v>661599.64483333286</v>
      </c>
      <c r="D45" s="28"/>
      <c r="E45" s="28"/>
    </row>
    <row r="46" spans="1:5" hidden="1" x14ac:dyDescent="0.2">
      <c r="A46" s="42">
        <v>13202</v>
      </c>
      <c r="B46" s="28" t="s">
        <v>8</v>
      </c>
      <c r="C46" s="37">
        <v>57914.652000000002</v>
      </c>
      <c r="D46" s="28"/>
      <c r="E46" s="28"/>
    </row>
    <row r="47" spans="1:5" hidden="1" x14ac:dyDescent="0.2">
      <c r="A47" s="42">
        <v>13203</v>
      </c>
      <c r="B47" s="28" t="s">
        <v>7</v>
      </c>
      <c r="C47" s="37">
        <v>193048.83999999997</v>
      </c>
      <c r="D47" s="28"/>
      <c r="E47" s="28"/>
    </row>
    <row r="48" spans="1:5" hidden="1" x14ac:dyDescent="0.2">
      <c r="A48" s="42">
        <v>13401</v>
      </c>
      <c r="B48" s="28" t="s">
        <v>6</v>
      </c>
      <c r="C48" s="37">
        <v>465528.89999999991</v>
      </c>
      <c r="D48" s="28"/>
      <c r="E48" s="28"/>
    </row>
    <row r="49" spans="1:5" hidden="1" x14ac:dyDescent="0.2">
      <c r="A49" s="42">
        <v>14101</v>
      </c>
      <c r="B49" s="28" t="s">
        <v>5</v>
      </c>
      <c r="C49" s="37">
        <v>68826.572141333352</v>
      </c>
      <c r="D49" s="28"/>
      <c r="E49" s="28"/>
    </row>
    <row r="50" spans="1:5" hidden="1" x14ac:dyDescent="0.2">
      <c r="A50" s="42">
        <v>15401</v>
      </c>
      <c r="B50" s="28" t="s">
        <v>4</v>
      </c>
      <c r="C50" s="37">
        <v>27218.025666666683</v>
      </c>
      <c r="D50" s="28"/>
      <c r="E50" s="28"/>
    </row>
    <row r="51" spans="1:5" hidden="1" x14ac:dyDescent="0.2">
      <c r="A51" s="42">
        <v>15402</v>
      </c>
      <c r="B51" s="28" t="s">
        <v>3</v>
      </c>
      <c r="C51" s="37">
        <v>20033.876666666678</v>
      </c>
      <c r="D51" s="28"/>
      <c r="E51" s="28"/>
    </row>
    <row r="52" spans="1:5" hidden="1" x14ac:dyDescent="0.2">
      <c r="A52" s="42">
        <v>17101</v>
      </c>
      <c r="B52" s="28" t="s">
        <v>2</v>
      </c>
      <c r="C52" s="37">
        <v>54720</v>
      </c>
      <c r="D52" s="28"/>
      <c r="E52" s="28"/>
    </row>
    <row r="53" spans="1:5" hidden="1" x14ac:dyDescent="0.2">
      <c r="A53" s="41"/>
      <c r="B53" s="30"/>
      <c r="C53" s="31">
        <f>SUM(C45:C52)</f>
        <v>1548890.5113079995</v>
      </c>
      <c r="D53" s="28"/>
      <c r="E53" s="28"/>
    </row>
    <row r="54" spans="1:5" hidden="1" x14ac:dyDescent="0.2">
      <c r="B54" s="2" t="s">
        <v>71</v>
      </c>
    </row>
    <row r="55" spans="1:5" hidden="1" x14ac:dyDescent="0.2">
      <c r="A55" s="8">
        <v>11301</v>
      </c>
      <c r="B55" t="s">
        <v>9</v>
      </c>
      <c r="C55" s="44">
        <v>2462889.3299999996</v>
      </c>
    </row>
    <row r="56" spans="1:5" hidden="1" x14ac:dyDescent="0.2">
      <c r="A56" s="8">
        <v>13202</v>
      </c>
      <c r="B56" t="s">
        <v>8</v>
      </c>
      <c r="C56" s="44">
        <v>184689.81599999993</v>
      </c>
    </row>
    <row r="57" spans="1:5" hidden="1" x14ac:dyDescent="0.2">
      <c r="A57" s="8">
        <v>13203</v>
      </c>
      <c r="B57" t="s">
        <v>7</v>
      </c>
      <c r="C57" s="44">
        <v>615632.7200000002</v>
      </c>
    </row>
    <row r="58" spans="1:5" hidden="1" x14ac:dyDescent="0.2">
      <c r="A58" s="8">
        <v>13401</v>
      </c>
      <c r="B58" t="s">
        <v>6</v>
      </c>
      <c r="C58" s="44">
        <v>1088807.2883333333</v>
      </c>
    </row>
    <row r="59" spans="1:5" hidden="1" x14ac:dyDescent="0.2">
      <c r="A59" s="8">
        <v>14101</v>
      </c>
      <c r="B59" t="s">
        <v>5</v>
      </c>
      <c r="C59" s="44">
        <v>257915.01346666663</v>
      </c>
    </row>
    <row r="60" spans="1:5" hidden="1" x14ac:dyDescent="0.2">
      <c r="A60" s="8">
        <v>15401</v>
      </c>
      <c r="B60" t="s">
        <v>4</v>
      </c>
      <c r="C60" s="44">
        <v>113957.74500000005</v>
      </c>
    </row>
    <row r="61" spans="1:5" hidden="1" x14ac:dyDescent="0.2">
      <c r="A61" s="8">
        <v>15402</v>
      </c>
      <c r="B61" t="s">
        <v>3</v>
      </c>
      <c r="C61" s="44">
        <v>79444.683333333349</v>
      </c>
    </row>
    <row r="62" spans="1:5" hidden="1" x14ac:dyDescent="0.2">
      <c r="A62" s="8">
        <v>17101</v>
      </c>
      <c r="B62" t="s">
        <v>2</v>
      </c>
      <c r="C62" s="44">
        <v>220800</v>
      </c>
    </row>
    <row r="63" spans="1:5" hidden="1" x14ac:dyDescent="0.2">
      <c r="A63" s="8">
        <v>14401</v>
      </c>
      <c r="B63" t="s">
        <v>113</v>
      </c>
      <c r="C63" s="44">
        <f>23*639.36</f>
        <v>14705.28</v>
      </c>
    </row>
    <row r="64" spans="1:5" hidden="1" x14ac:dyDescent="0.2">
      <c r="C64" s="48">
        <f>SUM(C55:C63)</f>
        <v>5038841.8761333339</v>
      </c>
    </row>
    <row r="65" spans="1:3" hidden="1" x14ac:dyDescent="0.2"/>
    <row r="66" spans="1:3" x14ac:dyDescent="0.2">
      <c r="A66" s="8">
        <v>11301</v>
      </c>
      <c r="B66" t="s">
        <v>9</v>
      </c>
      <c r="C66" s="1">
        <f>C45+C55</f>
        <v>3124488.9748333325</v>
      </c>
    </row>
    <row r="67" spans="1:3" x14ac:dyDescent="0.2">
      <c r="A67" s="8">
        <v>13202</v>
      </c>
      <c r="B67" t="s">
        <v>8</v>
      </c>
      <c r="C67" s="1">
        <f t="shared" ref="C67:C73" si="0">C46+C56</f>
        <v>242604.46799999994</v>
      </c>
    </row>
    <row r="68" spans="1:3" x14ac:dyDescent="0.2">
      <c r="A68" s="8">
        <v>13203</v>
      </c>
      <c r="B68" t="s">
        <v>7</v>
      </c>
      <c r="C68" s="1">
        <f t="shared" si="0"/>
        <v>808681.56000000017</v>
      </c>
    </row>
    <row r="69" spans="1:3" x14ac:dyDescent="0.2">
      <c r="A69" s="8">
        <v>13401</v>
      </c>
      <c r="B69" t="s">
        <v>6</v>
      </c>
      <c r="C69" s="1">
        <f t="shared" si="0"/>
        <v>1554336.1883333332</v>
      </c>
    </row>
    <row r="70" spans="1:3" x14ac:dyDescent="0.2">
      <c r="A70" s="8">
        <v>14101</v>
      </c>
      <c r="B70" t="s">
        <v>5</v>
      </c>
      <c r="C70" s="1">
        <f t="shared" si="0"/>
        <v>326741.58560799999</v>
      </c>
    </row>
    <row r="71" spans="1:3" x14ac:dyDescent="0.2">
      <c r="A71" s="8">
        <v>15401</v>
      </c>
      <c r="B71" t="s">
        <v>4</v>
      </c>
      <c r="C71" s="1">
        <f t="shared" si="0"/>
        <v>141175.77066666674</v>
      </c>
    </row>
    <row r="72" spans="1:3" x14ac:dyDescent="0.2">
      <c r="A72" s="8">
        <v>15402</v>
      </c>
      <c r="B72" t="s">
        <v>3</v>
      </c>
      <c r="C72" s="1">
        <f t="shared" si="0"/>
        <v>99478.560000000027</v>
      </c>
    </row>
    <row r="73" spans="1:3" x14ac:dyDescent="0.2">
      <c r="A73" s="8">
        <v>17101</v>
      </c>
      <c r="B73" t="s">
        <v>2</v>
      </c>
      <c r="C73" s="1">
        <f t="shared" si="0"/>
        <v>275520</v>
      </c>
    </row>
    <row r="74" spans="1:3" x14ac:dyDescent="0.2">
      <c r="A74" s="8">
        <v>14401</v>
      </c>
      <c r="B74" t="s">
        <v>113</v>
      </c>
      <c r="C74" s="44">
        <f>C63</f>
        <v>14705.28</v>
      </c>
    </row>
    <row r="75" spans="1:3" x14ac:dyDescent="0.2">
      <c r="B75" s="6" t="s">
        <v>1</v>
      </c>
      <c r="C75" s="4">
        <f>SUM(C66:C74)</f>
        <v>6587732.3874413315</v>
      </c>
    </row>
    <row r="77" spans="1:3" x14ac:dyDescent="0.2">
      <c r="B77" s="6" t="s">
        <v>72</v>
      </c>
      <c r="C77" s="4">
        <f>C17+C42+C75</f>
        <v>13996263.427441332</v>
      </c>
    </row>
  </sheetData>
  <mergeCells count="2"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CONCENTRADO PROYECTOS</vt:lpstr>
      <vt:lpstr>TRIBUNAL ELECTRÓNICO</vt:lpstr>
      <vt:lpstr>JUSTICIA LABORAL</vt:lpstr>
      <vt:lpstr>VERSIONES PÚBLICAS SENTENCIAS</vt:lpstr>
      <vt:lpstr>SJPO TIJUANA LA ENCANTADA</vt:lpstr>
      <vt:lpstr>SJPO C.D. JUDICIAL ENSENADA</vt:lpstr>
      <vt:lpstr>SJPO C.D. JUDICIAL TECATE</vt:lpstr>
      <vt:lpstr>FORTALECIMIENTO SJPO MXLI</vt:lpstr>
      <vt:lpstr>MEJORAMIENTO SEMEFO</vt:lpstr>
      <vt:lpstr>CECOFAM</vt:lpstr>
      <vt:lpstr>CREACIÓN JUZGADOS FAMILIARES</vt:lpstr>
      <vt:lpstr>CREACIÓN JUZGADOS MERCANTILES</vt:lpstr>
      <vt:lpstr>SIST. DECLARACIÓN PATRIMONIAL</vt:lpstr>
      <vt:lpstr>SALAS APELACIÓN TIJ SIN MAG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ana.sarmiento</dc:creator>
  <cp:lastModifiedBy>Cruz Octavio Burciaga Romero</cp:lastModifiedBy>
  <cp:lastPrinted>2020-11-20T18:46:01Z</cp:lastPrinted>
  <dcterms:created xsi:type="dcterms:W3CDTF">2020-10-28T20:07:50Z</dcterms:created>
  <dcterms:modified xsi:type="dcterms:W3CDTF">2020-11-20T18:46:57Z</dcterms:modified>
</cp:coreProperties>
</file>